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Risk_Parity_Weights" sheetId="4" state="visible" r:id="rId6"/>
    <sheet name="Portfolio_Returns" sheetId="5" state="visible" r:id="rId7"/>
    <sheet name="AUM_Rollforward" sheetId="6" state="visible" r:id="rId8"/>
    <sheet name="Fee_Schedule" sheetId="7" state="visible" r:id="rId9"/>
    <sheet name="Risk_Metrics" sheetId="8" state="visible" r:id="rId10"/>
    <sheet name="Checks" sheetId="9" state="visible" r:id="rId11"/>
  </sheets>
  <definedNames>
    <definedName function="false" hidden="false" name="Admin_Fee" vbProcedure="false">Assumptions!$C$35</definedName>
    <definedName function="false" hidden="false" name="Annual_Dist_Rate" vbProcedure="false">Assumptions!$C$38</definedName>
    <definedName function="false" hidden="false" name="Bond_Return" vbProcedure="false">Assumptions!$C$14</definedName>
    <definedName function="false" hidden="false" name="Bond_Vol" vbProcedure="false">Assumptions!$C$20</definedName>
    <definedName function="false" hidden="false" name="Comm_Return" vbProcedure="false">Assumptions!$C$15</definedName>
    <definedName function="false" hidden="false" name="Comm_Vol" vbProcedure="false">Assumptions!$C$21</definedName>
    <definedName function="false" hidden="false" name="Corr_Bond_Comm" vbProcedure="false">Assumptions!$C$28</definedName>
    <definedName function="false" hidden="false" name="Corr_Bond_TIPS" vbProcedure="false">Assumptions!$C$29</definedName>
    <definedName function="false" hidden="false" name="Corr_Comm_TIPS" vbProcedure="false">Assumptions!$C$30</definedName>
    <definedName function="false" hidden="false" name="Corr_Eq_Bond" vbProcedure="false">Assumptions!$C$25</definedName>
    <definedName function="false" hidden="false" name="Corr_Eq_Comm" vbProcedure="false">Assumptions!$C$26</definedName>
    <definedName function="false" hidden="false" name="Corr_Eq_TIPS" vbProcedure="false">Assumptions!$C$27</definedName>
    <definedName function="false" hidden="false" name="Eq_Return" vbProcedure="false">Assumptions!$C$13</definedName>
    <definedName function="false" hidden="false" name="Eq_Vol" vbProcedure="false">Assumptions!$C$19</definedName>
    <definedName function="false" hidden="false" name="Financing_Spread" vbProcedure="false">Assumptions!$C$9</definedName>
    <definedName function="false" hidden="false" name="Initial_NAV" vbProcedure="false">Assumptions!$C$5</definedName>
    <definedName function="false" hidden="false" name="Leverage_Ratio" vbProcedure="false">Assumptions!$C$6</definedName>
    <definedName function="false" hidden="false" name="Max_Leverage" vbProcedure="false">Assumptions!$C$7</definedName>
    <definedName function="false" hidden="false" name="Mgmt_Fee" vbProcedure="false">Assumptions!$C$33</definedName>
    <definedName function="false" hidden="false" name="Rebalance_Turnover" vbProcedure="false">Assumptions!$C$10</definedName>
    <definedName function="false" hidden="false" name="Risk_Free_Rate" vbProcedure="false">Assumptions!$C$8</definedName>
    <definedName function="false" hidden="false" name="RPW_Port_Vol_Lev" vbProcedure="false">Risk_Parity_Weights!$C$17</definedName>
    <definedName function="false" hidden="false" name="RPW_Port_Vol_Unlev" vbProcedure="false">Risk_Parity_Weights!$C$16</definedName>
    <definedName function="false" hidden="false" name="TIPS_Return" vbProcedure="false">Assumptions!$C$16</definedName>
    <definedName function="false" hidden="false" name="TIPS_Vol" vbProcedure="false">Assumptions!$C$22</definedName>
    <definedName function="false" hidden="false" name="Txn_Cost_Per_Turn" vbProcedure="false">Assumptions!$C$34</definedName>
    <definedName function="false" hidden="false" name="W_Bond" vbProcedure="false">Risk_Parity_Weights!$D$10</definedName>
    <definedName function="false" hidden="false" name="W_Comm" vbProcedure="false">Risk_Parity_Weights!$E$10</definedName>
    <definedName function="false" hidden="false" name="W_Eq" vbProcedure="false">Risk_Parity_Weights!$C$10</definedName>
    <definedName function="false" hidden="false" name="W_TIPS" vbProcedure="false">Risk_Parity_Weights!$F$10</definedName>
    <definedName function="false" hidden="false" name="Z_Score_95" vbProcedure="false">Assumptions!$C$41</definedName>
    <definedName function="false" hidden="false" name="Z_Score_99" vbProcedure="false">Assumptions!$C$42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<sst xmlns="http://schemas.openxmlformats.org/spreadsheetml/2006/main" count="252" uniqueCount="205">
  <si>
    <t xml:space="preserve">Risk-Parity Portfolio Model</t>
  </si>
  <si>
    <t xml:space="preserve">FINAMODEL.com</t>
  </si>
  <si>
    <t xml:space="preserve">Finamodel Template</t>
  </si>
  <si>
    <t xml:space="preserve">Sheet Index</t>
  </si>
  <si>
    <t xml:space="preserve">Cover</t>
  </si>
  <si>
    <t xml:space="preserve">Title and navigation</t>
  </si>
  <si>
    <t xml:space="preserve">Assumptions</t>
  </si>
  <si>
    <t xml:space="preserve">All model inputs</t>
  </si>
  <si>
    <t xml:space="preserve">Risk_Parity_Weights</t>
  </si>
  <si>
    <t xml:space="preserve">Inverse-vol weight computation</t>
  </si>
  <si>
    <t xml:space="preserve">Portfolio_Returns</t>
  </si>
  <si>
    <t xml:space="preserve">Leveraged return projection</t>
  </si>
  <si>
    <t xml:space="preserve">AUM_Rollforward</t>
  </si>
  <si>
    <t xml:space="preserve">NAV roll-forward</t>
  </si>
  <si>
    <t xml:space="preserve">Fee_Schedule</t>
  </si>
  <si>
    <t xml:space="preserve">Fees and financing costs</t>
  </si>
  <si>
    <t xml:space="preserve">Risk_Metrics</t>
  </si>
  <si>
    <t xml:space="preserve">Sharpe, VaR, risk contributions</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</si>
  <si>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</si>
  <si>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</si>
  <si>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</si>
  <si>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</si>
  <si>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</si>
  <si>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</si>
  <si>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</si>
  <si>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Allocation and return drivers</t>
  </si>
  <si>
    <t xml:space="preserve">Orange</t>
  </si>
  <si>
    <t xml:space="preserve">Fee and cost schedules</t>
  </si>
  <si>
    <t xml:space="preserve">Grey</t>
  </si>
  <si>
    <t xml:space="preserve">Summary / output sheets</t>
  </si>
  <si>
    <t xml:space="preserve">Red</t>
  </si>
  <si>
    <t xml:space="preserve">About this model</t>
  </si>
  <si>
    <t xml:space="preserve">This allocation framework weights assets by inverse volatility to achieve equal risk contribution across equities, bonds, and alternativesâthe core principle behind Bridgewater's All Weather Fund and similar strategies. Input annual expected returns and volatilities per asset class; the model computes optimal inverse-volatility weights, applies leverage (1.5x-3.0x), and outputs portfolio returns net of financing costs, management fees, and transaction costs. It then verifies that each asset class contributes equally to total portfolio variance using the full covariance matrix (not simplified weighting).
The model projects 5+ years of portfolio value, Sharpe ratio, drawdown risk (99% VaR), and rebalancing triggers. Key mechanics: leverage ratio drives a financing cost line (SOFR + spread), transaction costs scale with turnover, and fee schedules separate management from performance-based costs. Circularity is eliminated by computing fees and returns on opening (not ending) NAV. Validation checks confirm equal risk contributions, weight sums to 100%, and leverage remains within bounds.
Target users are portfolio managers, CIOs, family offices, and institutional allocators managing $50M-$50B who want to optimise across correlated asset classes. Includes sensitivity on leverage ratio and expected return assumptions to show how portfolio targets change under different macro regimes.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</si>
  <si>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</si>
  <si>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</si>
  <si>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</si>
  <si>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</si>
  <si>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</si>
  <si>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</si>
  <si>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</si>
  <si>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</si>
  <si>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</si>
  <si>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</si>
  <si>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</si>
  <si>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</si>
  <si>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</si>
  <si>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</si>
  <si>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</si>
  <si>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</si>
  <si>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</si>
  <si>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</si>
  <si>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</si>
  <si>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</si>
  <si>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</si>
  <si>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Model Inputs</t>
  </si>
  <si>
    <t xml:space="preserve">Parameter</t>
  </si>
  <si>
    <t xml:space="preserve">Value</t>
  </si>
  <si>
    <t xml:space="preserve">Unit</t>
  </si>
  <si>
    <t xml:space="preserve">Notes</t>
  </si>
  <si>
    <t xml:space="preserve">Initial Portfolio NAV</t>
  </si>
  <si>
    <t xml:space="preserve">$</t>
  </si>
  <si>
    <t xml:space="preserve">Starting capital</t>
  </si>
  <si>
    <t xml:space="preserve">Target Leverage Ratio</t>
  </si>
  <si>
    <t xml:space="preserve">x</t>
  </si>
  <si>
    <t xml:space="preserve">Total exposure / NAV</t>
  </si>
  <si>
    <t xml:space="preserve">Maximum Leverage</t>
  </si>
  <si>
    <t xml:space="preserve">Hard cap before forced deleverage</t>
  </si>
  <si>
    <t xml:space="preserve">Risk-Free Rate (SOFR)</t>
  </si>
  <si>
    <t xml:space="preserve">%</t>
  </si>
  <si>
    <t xml:space="preserve">Base-case cash yield</t>
  </si>
  <si>
    <t xml:space="preserve">Financing Spread</t>
  </si>
  <si>
    <t xml:space="preserve">Spread over risk-free</t>
  </si>
  <si>
    <t xml:space="preserve">Annual Rebalance Turnover</t>
  </si>
  <si>
    <t xml:space="preserve">% of portfolio rebalanced p.a.</t>
  </si>
  <si>
    <t xml:space="preserve">Expected Returns</t>
  </si>
  <si>
    <t xml:space="preserve">Equities</t>
  </si>
  <si>
    <t xml:space="preserve">Long-run equity risk premium</t>
  </si>
  <si>
    <t xml:space="preserve">Bonds</t>
  </si>
  <si>
    <t xml:space="preserve">Yield plus roll-down</t>
  </si>
  <si>
    <t xml:space="preserve">Commodities</t>
  </si>
  <si>
    <t xml:space="preserve">Broad commodity index</t>
  </si>
  <si>
    <t xml:space="preserve">TIPS</t>
  </si>
  <si>
    <t xml:space="preserve">Real yield + breakeven</t>
  </si>
  <si>
    <t xml:space="preserve">Volatilities (Annual)</t>
  </si>
  <si>
    <t xml:space="preserve">S&amp;P 500 long-run</t>
  </si>
  <si>
    <t xml:space="preserve">US Agg long-run</t>
  </si>
  <si>
    <t xml:space="preserve">GSCI index</t>
  </si>
  <si>
    <t xml:space="preserve">Barclays TIPS</t>
  </si>
  <si>
    <t xml:space="preserve">Pairwise Correlations</t>
  </si>
  <si>
    <t xml:space="preserve">Equities / Bonds</t>
  </si>
  <si>
    <t xml:space="preserve">Base-case neutral</t>
  </si>
  <si>
    <t xml:space="preserve">Equities / Commodities</t>
  </si>
  <si>
    <t xml:space="preserve">Equities / TIPS</t>
  </si>
  <si>
    <t xml:space="preserve">Bonds / Commodities</t>
  </si>
  <si>
    <t xml:space="preserve">Bonds / TIPS</t>
  </si>
  <si>
    <t xml:space="preserve">Commodities / TIPS</t>
  </si>
  <si>
    <t xml:space="preserve">Fees &amp; Costs</t>
  </si>
  <si>
    <t xml:space="preserve">Management Fee</t>
  </si>
  <si>
    <t xml:space="preserve">Annual, on NAV</t>
  </si>
  <si>
    <t xml:space="preserve">Transaction Cost</t>
  </si>
  <si>
    <t xml:space="preserve">Per unit of turnover</t>
  </si>
  <si>
    <t xml:space="preserve">Admin &amp; Custody Fee</t>
  </si>
  <si>
    <t xml:space="preserve">Distributions</t>
  </si>
  <si>
    <t xml:space="preserve">Annual Distribution Rate</t>
  </si>
  <si>
    <t xml:space="preserve">% of beginning NAV</t>
  </si>
  <si>
    <t xml:space="preserve">Statistical Constants</t>
  </si>
  <si>
    <t xml:space="preserve">Z-Score 95%</t>
  </si>
  <si>
    <t xml:space="preserve">Normal one-tail</t>
  </si>
  <si>
    <t xml:space="preserve">Z-Score 99%</t>
  </si>
  <si>
    <t xml:space="preserve">Risk-Parity Weights</t>
  </si>
  <si>
    <t xml:space="preserve">Inverse-Vol Allocation</t>
  </si>
  <si>
    <t xml:space="preserve">Asset Class</t>
  </si>
  <si>
    <t xml:space="preserve">Volatility</t>
  </si>
  <si>
    <t xml:space="preserve">1 / Volatility</t>
  </si>
  <si>
    <t xml:space="preserve">Sum(1/Vol)</t>
  </si>
  <si>
    <t xml:space="preserve">Risk-Parity Weight</t>
  </si>
  <si>
    <t xml:space="preserve">Portfolio Risk</t>
  </si>
  <si>
    <t xml:space="preserve">w x Vol</t>
  </si>
  <si>
    <t xml:space="preserve">Portfolio Variance Contrib</t>
  </si>
  <si>
    <t xml:space="preserve">Portfolio Variance</t>
  </si>
  <si>
    <t xml:space="preserve">Portfolio Vol (Unleveraged)</t>
  </si>
  <si>
    <t xml:space="preserve">Portfolio Vol (Leveraged)</t>
  </si>
  <si>
    <t xml:space="preserve">Risk Contribution Verification</t>
  </si>
  <si>
    <t xml:space="preserve">Risk Contribution</t>
  </si>
  <si>
    <t xml:space="preserve">Risk Contrib %</t>
  </si>
  <si>
    <t xml:space="preserve">Total Risk Contrib</t>
  </si>
  <si>
    <t xml:space="preserve">Capital Allocation</t>
  </si>
  <si>
    <t xml:space="preserve">Capital Weight</t>
  </si>
  <si>
    <t xml:space="preserve">Leveraged Exposure</t>
  </si>
  <si>
    <t xml:space="preserve">Dollar Allocation</t>
  </si>
  <si>
    <t xml:space="preserve">Portfolio Returns</t>
  </si>
  <si>
    <t xml:space="preserve">Annual Projections</t>
  </si>
  <si>
    <t xml:space="preserve">Gross Return Components</t>
  </si>
  <si>
    <t xml:space="preserve">Equities Contrib</t>
  </si>
  <si>
    <t xml:space="preserve">Bonds Contrib</t>
  </si>
  <si>
    <t xml:space="preserve">Commodities Contrib</t>
  </si>
  <si>
    <t xml:space="preserve">TIPS Contrib</t>
  </si>
  <si>
    <t xml:space="preserve">Gross Return (Unlev)</t>
  </si>
  <si>
    <t xml:space="preserve">Gross Return (Leveraged)</t>
  </si>
  <si>
    <t xml:space="preserve">Costs (% of NAV)</t>
  </si>
  <si>
    <t xml:space="preserve">Financing Cost</t>
  </si>
  <si>
    <t xml:space="preserve">Admin &amp; Custody</t>
  </si>
  <si>
    <t xml:space="preserve">TOTAL COSTS</t>
  </si>
  <si>
    <t xml:space="preserve">NET PORTFOLIO RETURN</t>
  </si>
  <si>
    <t xml:space="preserve">AUM Roll-Forward</t>
  </si>
  <si>
    <t xml:space="preserve">NAV Projection</t>
  </si>
  <si>
    <t xml:space="preserve">Beginning NAV</t>
  </si>
  <si>
    <t xml:space="preserve">Gross Investment Gain</t>
  </si>
  <si>
    <t xml:space="preserve">Distribution</t>
  </si>
  <si>
    <t xml:space="preserve">ENDING NAV</t>
  </si>
  <si>
    <t xml:space="preserve">Cumulative Return</t>
  </si>
  <si>
    <t xml:space="preserve">CAGR</t>
  </si>
  <si>
    <t xml:space="preserve">Fee Schedule</t>
  </si>
  <si>
    <t xml:space="preserve">Cost Detail</t>
  </si>
  <si>
    <t xml:space="preserve">Financing</t>
  </si>
  <si>
    <t xml:space="preserve">Borrowed Amount</t>
  </si>
  <si>
    <t xml:space="preserve">Financing Rate</t>
  </si>
  <si>
    <t xml:space="preserve">Fee Rate</t>
  </si>
  <si>
    <t xml:space="preserve">Fee Amount</t>
  </si>
  <si>
    <t xml:space="preserve">Transaction Costs</t>
  </si>
  <si>
    <t xml:space="preserve">Annual Turnover</t>
  </si>
  <si>
    <t xml:space="preserve">Cost per Turnover</t>
  </si>
  <si>
    <t xml:space="preserve">Admin Rate</t>
  </si>
  <si>
    <t xml:space="preserve">Admin Cost</t>
  </si>
  <si>
    <t xml:space="preserve">TOTAL FEES &amp; COSTS</t>
  </si>
  <si>
    <t xml:space="preserve">Total Cost (% of NAV)</t>
  </si>
  <si>
    <t xml:space="preserve">Risk Metrics</t>
  </si>
  <si>
    <t xml:space="preserve">Portfolio Analytics</t>
  </si>
  <si>
    <t xml:space="preserve">Return Summary</t>
  </si>
  <si>
    <t xml:space="preserve">Gross Return (Lev)</t>
  </si>
  <si>
    <t xml:space="preserve">Net Return</t>
  </si>
  <si>
    <t xml:space="preserve">Cost Drag</t>
  </si>
  <si>
    <t xml:space="preserve">Risk Measures</t>
  </si>
  <si>
    <t xml:space="preserve">Vol (Unleveraged)</t>
  </si>
  <si>
    <t xml:space="preserve">Vol (Leveraged)</t>
  </si>
  <si>
    <t xml:space="preserve">Sharpe Ratio</t>
  </si>
  <si>
    <t xml:space="preserve">VaR (95%, $ annual)</t>
  </si>
  <si>
    <t xml:space="preserve">VaR (99%, $ annual)</t>
  </si>
  <si>
    <t xml:space="preserve">Max Drawdown Est.</t>
  </si>
  <si>
    <t xml:space="preserve">Leverage</t>
  </si>
  <si>
    <t xml:space="preserve">Current Leverage</t>
  </si>
  <si>
    <t xml:space="preserve">Leverage Headroom</t>
  </si>
  <si>
    <t xml:space="preserve">Efficiency</t>
  </si>
  <si>
    <t xml:space="preserve">Return / Vol</t>
  </si>
  <si>
    <t xml:space="preserve">Validation Checks</t>
  </si>
  <si>
    <t xml:space="preserve">Model Integrity</t>
  </si>
  <si>
    <t xml:space="preserve">Check</t>
  </si>
  <si>
    <t xml:space="preserve">Result</t>
  </si>
  <si>
    <t xml:space="preserve">Detail</t>
  </si>
  <si>
    <t xml:space="preserve">Weights Sum to 100%</t>
  </si>
  <si>
    <t xml:space="preserve">Capital weights must sum to 100%</t>
  </si>
  <si>
    <t xml:space="preserve">Risk Contributions Equal</t>
  </si>
  <si>
    <t xml:space="preserve">Each asset class within 5% of 25% target</t>
  </si>
  <si>
    <t xml:space="preserve">NAV Roll-Forward Reconciles</t>
  </si>
  <si>
    <t xml:space="preserve">End NAV = Begin + Gains - Costs - Distributions</t>
  </si>
  <si>
    <t xml:space="preserve">Financing Cost Correct</t>
  </si>
  <si>
    <t xml:space="preserve">Financing = Borrowed x Rate</t>
  </si>
  <si>
    <t xml:space="preserve">Sharpe Ratio Positive</t>
  </si>
  <si>
    <t xml:space="preserve">Should be positive with default assumptions</t>
  </si>
  <si>
    <t xml:space="preserve">Leveraged Vol Correct</t>
  </si>
  <si>
    <t xml:space="preserve">Lev Vol = Unlev Vol x Leverage</t>
  </si>
  <si>
    <t xml:space="preserve">Total Fees in Range</t>
  </si>
  <si>
    <t xml:space="preserve">Total fees 0.1% to 15% of NAV</t>
  </si>
  <si>
    <t xml:space="preserve">Total Risk Contrib = 100%</t>
  </si>
  <si>
    <t xml:space="preserve">Sum of risk contributions = 100%</t>
  </si>
</sst>
</file>

<file path=xl/styles.xml><?xml version="1.0" encoding="utf-8"?>
<styleSheet xmlns="http://schemas.openxmlformats.org/spreadsheetml/2006/main">
  <numFmts count="7">
    <numFmt numFmtId="164" formatCode="General"/>
    <numFmt numFmtId="165" formatCode="\$#,##0.00"/>
    <numFmt numFmtId="166" formatCode="0.00\x"/>
    <numFmt numFmtId="167" formatCode="0.00%"/>
    <numFmt numFmtId="168" formatCode="0.00"/>
    <numFmt numFmtId="169" formatCode="#,##0.0"/>
    <numFmt numFmtId="170" formatCode="0"/>
  </numFmts>
  <fonts count="31">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sz val="11"/>
      <color rgb="FF808080"/>
      <name val="Arial"/>
      <family val="0"/>
      <charset val="1"/>
    </font>
    <font>
      <b val="true"/>
      <sz val="11"/>
      <color rgb="FF5B9BD5"/>
      <name val="Arial"/>
      <family val="0"/>
      <charset val="1"/>
    </font>
    <font>
      <b val="true"/>
      <sz val="11"/>
      <color rgb="FF70AD47"/>
      <name val="Arial"/>
      <family val="0"/>
      <charset val="1"/>
    </font>
    <font>
      <b val="true"/>
      <sz val="11"/>
      <color rgb="FFA5A5A5"/>
      <name val="Arial"/>
      <family val="0"/>
      <charset val="1"/>
    </font>
    <font>
      <b val="true"/>
      <sz val="11"/>
      <color rgb="FFED7D31"/>
      <name val="Arial"/>
      <family val="0"/>
      <charset val="1"/>
    </font>
    <font>
      <b val="true"/>
      <sz val="11"/>
      <color rgb="FFFF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
      <i val="true"/>
      <sz val="11"/>
      <color rgb="FF808080"/>
      <name val="Arial"/>
      <family val="0"/>
      <charset val="1"/>
    </font>
    <font>
      <sz val="11"/>
      <color rgb="FF2E75B6"/>
      <name val="Arial"/>
      <family val="0"/>
      <charset val="1"/>
    </font>
    <font>
      <sz val="11"/>
      <color rgb="FF00000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
      <patternFill patternType="solid">
        <fgColor rgb="FFFFF2CC"/>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7"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2" fillId="4"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xf numFmtId="164" fontId="25" fillId="5"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bottom" textRotation="0" wrapText="false" indent="0" shrinkToFit="false"/>
      <protection locked="true" hidden="false"/>
    </xf>
    <xf numFmtId="164" fontId="28" fillId="0" borderId="0" xfId="0" applyFont="true" applyBorder="false" applyAlignment="true" applyProtection="false">
      <alignment horizontal="left" vertical="bottom" textRotation="0" wrapText="false" indent="0" shrinkToFit="false"/>
      <protection locked="true" hidden="false"/>
    </xf>
    <xf numFmtId="164" fontId="22" fillId="4" borderId="0" xfId="0" applyFont="true" applyBorder="false" applyAlignment="true" applyProtection="false">
      <alignment horizontal="left" vertical="bottom" textRotation="0" wrapText="false" indent="0" shrinkToFit="false"/>
      <protection locked="true" hidden="false"/>
    </xf>
    <xf numFmtId="164" fontId="22" fillId="4"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29" fillId="6" borderId="0" xfId="0" applyFont="true" applyBorder="false" applyAlignment="true" applyProtection="false">
      <alignment horizontal="right" vertical="bottom" textRotation="0" wrapText="false" indent="0" shrinkToFit="false"/>
      <protection locked="true" hidden="false"/>
    </xf>
    <xf numFmtId="166" fontId="29" fillId="6" borderId="0" xfId="0" applyFont="true" applyBorder="false" applyAlignment="true" applyProtection="false">
      <alignment horizontal="right" vertical="bottom" textRotation="0" wrapText="false" indent="0" shrinkToFit="false"/>
      <protection locked="true" hidden="false"/>
    </xf>
    <xf numFmtId="167" fontId="29" fillId="6" borderId="0" xfId="0" applyFont="true" applyBorder="false" applyAlignment="true" applyProtection="false">
      <alignment horizontal="right" vertical="bottom" textRotation="0" wrapText="false" indent="0" shrinkToFit="false"/>
      <protection locked="true" hidden="false"/>
    </xf>
    <xf numFmtId="164" fontId="17" fillId="3" borderId="0" xfId="0" applyFont="true" applyBorder="false" applyAlignment="true" applyProtection="false">
      <alignment horizontal="left" vertical="bottom" textRotation="0" wrapText="false" indent="0" shrinkToFit="false"/>
      <protection locked="true" hidden="false"/>
    </xf>
    <xf numFmtId="168" fontId="29" fillId="6" borderId="0" xfId="0" applyFont="true" applyBorder="false" applyAlignment="true" applyProtection="false">
      <alignment horizontal="right" vertical="bottom" textRotation="0" wrapText="false" indent="0" shrinkToFit="false"/>
      <protection locked="true" hidden="false"/>
    </xf>
    <xf numFmtId="167" fontId="30" fillId="0" borderId="0" xfId="0" applyFont="true" applyBorder="false" applyAlignment="true" applyProtection="false">
      <alignment horizontal="right" vertical="bottom" textRotation="0" wrapText="false" indent="0" shrinkToFit="false"/>
      <protection locked="true" hidden="false"/>
    </xf>
    <xf numFmtId="169" fontId="30" fillId="0" borderId="0" xfId="0" applyFont="true" applyBorder="false" applyAlignment="true" applyProtection="false">
      <alignment horizontal="right" vertical="bottom" textRotation="0" wrapText="false" indent="0" shrinkToFit="false"/>
      <protection locked="true" hidden="false"/>
    </xf>
    <xf numFmtId="167" fontId="9" fillId="0" borderId="2" xfId="0" applyFont="true" applyBorder="true" applyAlignment="true" applyProtection="false">
      <alignment horizontal="right" vertical="bottom" textRotation="0" wrapText="fals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4" fontId="22" fillId="4" borderId="0" xfId="0" applyFont="true" applyBorder="false" applyAlignment="false" applyProtection="false">
      <alignment horizontal="general" vertical="bottom" textRotation="0" wrapText="false" indent="0" shrinkToFit="false"/>
      <protection locked="true" hidden="false"/>
    </xf>
    <xf numFmtId="170" fontId="22" fillId="4"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 shrinkToFit="false"/>
      <protection locked="true" hidden="false"/>
    </xf>
    <xf numFmtId="167" fontId="9" fillId="0" borderId="3" xfId="0" applyFont="true" applyBorder="true" applyAlignment="true" applyProtection="false">
      <alignment horizontal="right"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right" vertical="bottom" textRotation="0" wrapText="false" indent="0" shrinkToFit="false"/>
      <protection locked="true" hidden="false"/>
    </xf>
    <xf numFmtId="165" fontId="30" fillId="0" borderId="0" xfId="0" applyFont="true" applyBorder="false" applyAlignment="true" applyProtection="false">
      <alignment horizontal="right" vertical="bottom" textRotation="0" wrapText="false" indent="0" shrinkToFit="false"/>
      <protection locked="true" hidden="false"/>
    </xf>
    <xf numFmtId="165" fontId="9" fillId="0" borderId="3"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1"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6" fontId="30" fillId="0" borderId="0" xfId="0" applyFont="true" applyBorder="false" applyAlignment="true" applyProtection="false">
      <alignment horizontal="right" vertical="bottom" textRotation="0" wrapText="false" indent="0" shrinkToFit="false"/>
      <protection locked="true" hidden="false"/>
    </xf>
    <xf numFmtId="168" fontId="30"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9" t="s">
        <v>6</v>
      </c>
      <c r="C8" s="8" t="s">
        <v>7</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10" t="s">
        <v>8</v>
      </c>
      <c r="C9" s="8" t="s">
        <v>9</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0" t="s">
        <v>10</v>
      </c>
      <c r="C10" s="8" t="s">
        <v>11</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1" t="s">
        <v>12</v>
      </c>
      <c r="C11" s="8" t="s">
        <v>13</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12" t="s">
        <v>14</v>
      </c>
      <c r="C12" s="8"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1" t="s">
        <v>16</v>
      </c>
      <c r="C13" s="8" t="s">
        <v>17</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3" t="s">
        <v>18</v>
      </c>
      <c r="C14" s="8" t="s">
        <v>19</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20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21</v>
      </c>
      <c r="C18" s="8" t="s">
        <v>4</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9" t="s">
        <v>22</v>
      </c>
      <c r="C19" s="8" t="s">
        <v>23</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0" t="s">
        <v>24</v>
      </c>
      <c r="C20" s="8" t="s">
        <v>25</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2" t="s">
        <v>26</v>
      </c>
      <c r="C21" s="8" t="s">
        <v>27</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1" t="s">
        <v>28</v>
      </c>
      <c r="C22" s="8" t="s">
        <v>29</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3" t="s">
        <v>30</v>
      </c>
      <c r="C23" s="8" t="s">
        <v>19</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9.5" hidden="false" customHeight="true" outlineLevel="0" collapsed="false">
      <c r="A26" s="5"/>
      <c r="B26" s="14" t="s">
        <v>31</v>
      </c>
      <c r="C26" s="15"/>
      <c r="D26" s="15"/>
      <c r="E26" s="15"/>
      <c r="F26" s="15"/>
      <c r="G26" s="15"/>
      <c r="H26" s="5"/>
      <c r="I26" s="5"/>
      <c r="J26" s="5"/>
      <c r="K26" s="5"/>
      <c r="L26" s="5"/>
      <c r="M26" s="5"/>
      <c r="N26" s="5"/>
      <c r="O26" s="5"/>
      <c r="P26" s="5"/>
      <c r="Q26" s="5"/>
      <c r="R26" s="5"/>
      <c r="S26" s="5"/>
      <c r="T26" s="5"/>
      <c r="U26" s="5"/>
      <c r="V26" s="5"/>
      <c r="W26" s="5"/>
      <c r="X26" s="5"/>
      <c r="Y26" s="5"/>
      <c r="Z26" s="5"/>
      <c r="AA26" s="5"/>
      <c r="AB26" s="5"/>
      <c r="AC26" s="5"/>
      <c r="AD26" s="5"/>
    </row>
    <row r="27" customFormat="false" ht="208.5" hidden="false" customHeight="true" outlineLevel="0" collapsed="false">
      <c r="A27" s="5"/>
      <c r="B27" s="16" t="s">
        <v>32</v>
      </c>
      <c r="C27" s="16"/>
      <c r="D27" s="16"/>
      <c r="E27" s="16"/>
      <c r="F27" s="16"/>
      <c r="G27" s="16"/>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4" t="s">
        <v>33</v>
      </c>
      <c r="C29" s="15"/>
      <c r="D29" s="15"/>
      <c r="E29" s="15"/>
      <c r="F29" s="15"/>
      <c r="G29" s="15"/>
      <c r="H29" s="5"/>
      <c r="I29" s="5"/>
      <c r="J29" s="5"/>
      <c r="K29" s="5"/>
      <c r="L29" s="5"/>
      <c r="M29" s="5"/>
      <c r="N29" s="5"/>
      <c r="O29" s="5"/>
      <c r="P29" s="5"/>
      <c r="Q29" s="5"/>
      <c r="R29" s="5"/>
      <c r="S29" s="5"/>
      <c r="T29" s="5"/>
      <c r="U29" s="5"/>
      <c r="V29" s="5"/>
      <c r="W29" s="5"/>
      <c r="X29" s="5"/>
      <c r="Y29" s="5"/>
      <c r="Z29" s="5"/>
      <c r="AA29" s="5"/>
      <c r="AB29" s="5"/>
      <c r="AC29" s="5"/>
      <c r="AD29" s="5"/>
    </row>
    <row r="30" customFormat="false" ht="57" hidden="false" customHeight="true" outlineLevel="0" collapsed="false">
      <c r="A30" s="5"/>
      <c r="B30" s="16" t="s">
        <v>34</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7" t="s">
        <v>35</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8" t="s">
        <v>36</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sheetData>
  <mergeCells count="3">
    <mergeCell ref="B27:G27"/>
    <mergeCell ref="B30:G30"/>
    <mergeCell ref="B31:G3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9" t="s">
        <v>37</v>
      </c>
    </row>
    <row r="3" customFormat="false" ht="3.75" hidden="false" customHeight="true" outlineLevel="0" collapsed="false">
      <c r="A3" s="5"/>
      <c r="B3" s="20"/>
    </row>
    <row r="4" customFormat="false" ht="15" hidden="false" customHeight="false" outlineLevel="0" collapsed="false">
      <c r="A4" s="5"/>
      <c r="B4" s="5"/>
    </row>
    <row r="5" customFormat="false" ht="19.5" hidden="false" customHeight="true" outlineLevel="0" collapsed="false">
      <c r="A5" s="5"/>
      <c r="B5" s="21" t="s">
        <v>38</v>
      </c>
    </row>
    <row r="6" customFormat="false" ht="48" hidden="false" customHeight="true" outlineLevel="0" collapsed="false">
      <c r="A6" s="5"/>
      <c r="B6" s="22" t="s">
        <v>39</v>
      </c>
    </row>
    <row r="7" customFormat="false" ht="15" hidden="false" customHeight="false" outlineLevel="0" collapsed="false">
      <c r="A7" s="5"/>
      <c r="B7" s="5"/>
    </row>
    <row r="8" customFormat="false" ht="19.5" hidden="false" customHeight="true" outlineLevel="0" collapsed="false">
      <c r="A8" s="5"/>
      <c r="B8" s="21" t="s">
        <v>40</v>
      </c>
    </row>
    <row r="9" customFormat="false" ht="61.5" hidden="false" customHeight="true" outlineLevel="0" collapsed="false">
      <c r="A9" s="5"/>
      <c r="B9" s="22" t="s">
        <v>41</v>
      </c>
    </row>
    <row r="10" customFormat="false" ht="15" hidden="false" customHeight="false" outlineLevel="0" collapsed="false">
      <c r="A10" s="5"/>
      <c r="B10" s="5"/>
    </row>
    <row r="11" customFormat="false" ht="19.5" hidden="false" customHeight="true" outlineLevel="0" collapsed="false">
      <c r="A11" s="5"/>
      <c r="B11" s="21" t="s">
        <v>42</v>
      </c>
    </row>
    <row r="12" customFormat="false" ht="75.75" hidden="false" customHeight="true" outlineLevel="0" collapsed="false">
      <c r="A12" s="5"/>
      <c r="B12" s="22" t="s">
        <v>43</v>
      </c>
    </row>
    <row r="13" customFormat="false" ht="15" hidden="false" customHeight="false" outlineLevel="0" collapsed="false">
      <c r="A13" s="5"/>
      <c r="B13" s="5"/>
    </row>
    <row r="14" customFormat="false" ht="19.5" hidden="false" customHeight="true" outlineLevel="0" collapsed="false">
      <c r="A14" s="5"/>
      <c r="B14" s="21" t="s">
        <v>44</v>
      </c>
    </row>
    <row r="15" customFormat="false" ht="61.5" hidden="false" customHeight="true" outlineLevel="0" collapsed="false">
      <c r="A15" s="5"/>
      <c r="B15" s="22" t="s">
        <v>45</v>
      </c>
    </row>
    <row r="16" customFormat="false" ht="15" hidden="false" customHeight="false" outlineLevel="0" collapsed="false">
      <c r="A16" s="5"/>
      <c r="B16" s="5"/>
    </row>
    <row r="17" customFormat="false" ht="19.5" hidden="false" customHeight="true" outlineLevel="0" collapsed="false">
      <c r="A17" s="5"/>
      <c r="B17" s="21" t="s">
        <v>46</v>
      </c>
    </row>
    <row r="18" customFormat="false" ht="33.75" hidden="false" customHeight="true" outlineLevel="0" collapsed="false">
      <c r="A18" s="5"/>
      <c r="B18" s="22" t="s">
        <v>47</v>
      </c>
    </row>
    <row r="19" customFormat="false" ht="15" hidden="false" customHeight="false" outlineLevel="0" collapsed="false">
      <c r="A19" s="5"/>
      <c r="B19" s="5"/>
    </row>
    <row r="20" customFormat="false" ht="19.5" hidden="false" customHeight="true" outlineLevel="0" collapsed="false">
      <c r="A20" s="5"/>
      <c r="B20" s="21" t="s">
        <v>48</v>
      </c>
    </row>
    <row r="21" customFormat="false" ht="33.75" hidden="false" customHeight="true" outlineLevel="0" collapsed="false">
      <c r="A21" s="5"/>
      <c r="B21" s="22" t="s">
        <v>49</v>
      </c>
    </row>
    <row r="22" customFormat="false" ht="15" hidden="false" customHeight="false" outlineLevel="0" collapsed="false">
      <c r="A22" s="5"/>
      <c r="B22" s="5"/>
    </row>
    <row r="23" customFormat="false" ht="21.75" hidden="false" customHeight="true" outlineLevel="0" collapsed="false">
      <c r="A23" s="5"/>
      <c r="B23" s="23" t="s">
        <v>50</v>
      </c>
    </row>
    <row r="24" customFormat="false" ht="15" hidden="false" customHeight="false" outlineLevel="0" collapsed="false">
      <c r="A24" s="5"/>
      <c r="B24" s="5"/>
    </row>
    <row r="25" customFormat="false" ht="18" hidden="false" customHeight="true" outlineLevel="0" collapsed="false">
      <c r="A25" s="5"/>
      <c r="B25" s="24" t="s">
        <v>51</v>
      </c>
    </row>
    <row r="26" customFormat="false" ht="201.75" hidden="false" customHeight="true" outlineLevel="0" collapsed="false">
      <c r="A26" s="5"/>
      <c r="B26" s="25" t="s">
        <v>52</v>
      </c>
    </row>
    <row r="27" customFormat="false" ht="15" hidden="false" customHeight="false" outlineLevel="0" collapsed="false">
      <c r="A27" s="5"/>
      <c r="B27" s="5"/>
    </row>
    <row r="28" customFormat="false" ht="18" hidden="false" customHeight="true" outlineLevel="0" collapsed="false">
      <c r="A28" s="5"/>
      <c r="B28" s="26" t="s">
        <v>53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6"/>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7" t="s">
        <v>6</v>
      </c>
      <c r="C2" s="5"/>
      <c r="D2" s="5"/>
      <c r="E2" s="5"/>
    </row>
    <row r="3" customFormat="false" ht="15" hidden="false" customHeight="false" outlineLevel="0" collapsed="false">
      <c r="A3" s="5"/>
      <c r="B3" s="28" t="s">
        <v>54</v>
      </c>
      <c r="C3" s="5"/>
      <c r="D3" s="5"/>
      <c r="E3" s="5"/>
    </row>
    <row r="4" customFormat="false" ht="15" hidden="false" customHeight="false" outlineLevel="0" collapsed="false">
      <c r="A4" s="5"/>
      <c r="B4" s="29" t="s">
        <v>55</v>
      </c>
      <c r="C4" s="30" t="s">
        <v>56</v>
      </c>
      <c r="D4" s="29" t="s">
        <v>57</v>
      </c>
      <c r="E4" s="29" t="s">
        <v>58</v>
      </c>
    </row>
    <row r="5" customFormat="false" ht="15" hidden="false" customHeight="false" outlineLevel="0" collapsed="false">
      <c r="A5" s="5"/>
      <c r="B5" s="31" t="s">
        <v>59</v>
      </c>
      <c r="C5" s="32" t="n">
        <v>100000000</v>
      </c>
      <c r="D5" s="31" t="s">
        <v>60</v>
      </c>
      <c r="E5" s="28" t="s">
        <v>61</v>
      </c>
    </row>
    <row r="6" customFormat="false" ht="15" hidden="false" customHeight="false" outlineLevel="0" collapsed="false">
      <c r="A6" s="5"/>
      <c r="B6" s="31" t="s">
        <v>62</v>
      </c>
      <c r="C6" s="33" t="n">
        <v>1.5</v>
      </c>
      <c r="D6" s="31" t="s">
        <v>63</v>
      </c>
      <c r="E6" s="28" t="s">
        <v>64</v>
      </c>
    </row>
    <row r="7" customFormat="false" ht="15" hidden="false" customHeight="false" outlineLevel="0" collapsed="false">
      <c r="A7" s="5"/>
      <c r="B7" s="31" t="s">
        <v>65</v>
      </c>
      <c r="C7" s="33" t="n">
        <v>3</v>
      </c>
      <c r="D7" s="31" t="s">
        <v>63</v>
      </c>
      <c r="E7" s="28" t="s">
        <v>66</v>
      </c>
    </row>
    <row r="8" customFormat="false" ht="15" hidden="false" customHeight="false" outlineLevel="0" collapsed="false">
      <c r="A8" s="5"/>
      <c r="B8" s="31" t="s">
        <v>67</v>
      </c>
      <c r="C8" s="34" t="n">
        <v>0.035</v>
      </c>
      <c r="D8" s="31" t="s">
        <v>68</v>
      </c>
      <c r="E8" s="28" t="s">
        <v>69</v>
      </c>
    </row>
    <row r="9" customFormat="false" ht="15" hidden="false" customHeight="false" outlineLevel="0" collapsed="false">
      <c r="A9" s="5"/>
      <c r="B9" s="31" t="s">
        <v>70</v>
      </c>
      <c r="C9" s="34" t="n">
        <v>0.005</v>
      </c>
      <c r="D9" s="31" t="s">
        <v>68</v>
      </c>
      <c r="E9" s="28" t="s">
        <v>71</v>
      </c>
    </row>
    <row r="10" customFormat="false" ht="15" hidden="false" customHeight="false" outlineLevel="0" collapsed="false">
      <c r="A10" s="5"/>
      <c r="B10" s="31" t="s">
        <v>72</v>
      </c>
      <c r="C10" s="34" t="n">
        <v>0.3</v>
      </c>
      <c r="D10" s="31" t="s">
        <v>68</v>
      </c>
      <c r="E10" s="28" t="s">
        <v>73</v>
      </c>
    </row>
    <row r="11" customFormat="false" ht="15" hidden="false" customHeight="false" outlineLevel="0" collapsed="false">
      <c r="A11" s="5"/>
      <c r="B11" s="5"/>
      <c r="C11" s="5"/>
      <c r="D11" s="5"/>
      <c r="E11" s="5"/>
    </row>
    <row r="12" customFormat="false" ht="15" hidden="false" customHeight="false" outlineLevel="0" collapsed="false">
      <c r="A12" s="5"/>
      <c r="B12" s="35" t="s">
        <v>74</v>
      </c>
      <c r="C12" s="15"/>
      <c r="D12" s="15"/>
      <c r="E12" s="15"/>
    </row>
    <row r="13" customFormat="false" ht="15" hidden="false" customHeight="false" outlineLevel="0" collapsed="false">
      <c r="A13" s="5"/>
      <c r="B13" s="31" t="s">
        <v>75</v>
      </c>
      <c r="C13" s="34" t="n">
        <v>0.1</v>
      </c>
      <c r="D13" s="31" t="s">
        <v>68</v>
      </c>
      <c r="E13" s="28" t="s">
        <v>76</v>
      </c>
    </row>
    <row r="14" customFormat="false" ht="15" hidden="false" customHeight="false" outlineLevel="0" collapsed="false">
      <c r="A14" s="5"/>
      <c r="B14" s="31" t="s">
        <v>77</v>
      </c>
      <c r="C14" s="34" t="n">
        <v>0.07</v>
      </c>
      <c r="D14" s="31" t="s">
        <v>68</v>
      </c>
      <c r="E14" s="28" t="s">
        <v>78</v>
      </c>
    </row>
    <row r="15" customFormat="false" ht="15" hidden="false" customHeight="false" outlineLevel="0" collapsed="false">
      <c r="A15" s="5"/>
      <c r="B15" s="31" t="s">
        <v>79</v>
      </c>
      <c r="C15" s="34" t="n">
        <v>0.07</v>
      </c>
      <c r="D15" s="31" t="s">
        <v>68</v>
      </c>
      <c r="E15" s="28" t="s">
        <v>80</v>
      </c>
    </row>
    <row r="16" customFormat="false" ht="15" hidden="false" customHeight="false" outlineLevel="0" collapsed="false">
      <c r="A16" s="5"/>
      <c r="B16" s="31" t="s">
        <v>81</v>
      </c>
      <c r="C16" s="34" t="n">
        <v>0.06</v>
      </c>
      <c r="D16" s="31" t="s">
        <v>68</v>
      </c>
      <c r="E16" s="28" t="s">
        <v>82</v>
      </c>
    </row>
    <row r="17" customFormat="false" ht="15" hidden="false" customHeight="false" outlineLevel="0" collapsed="false">
      <c r="A17" s="5"/>
      <c r="B17" s="5"/>
      <c r="C17" s="5"/>
      <c r="D17" s="5"/>
      <c r="E17" s="5"/>
    </row>
    <row r="18" customFormat="false" ht="15" hidden="false" customHeight="false" outlineLevel="0" collapsed="false">
      <c r="A18" s="5"/>
      <c r="B18" s="35" t="s">
        <v>83</v>
      </c>
      <c r="C18" s="15"/>
      <c r="D18" s="15"/>
      <c r="E18" s="15"/>
    </row>
    <row r="19" customFormat="false" ht="15" hidden="false" customHeight="false" outlineLevel="0" collapsed="false">
      <c r="A19" s="5"/>
      <c r="B19" s="31" t="s">
        <v>75</v>
      </c>
      <c r="C19" s="34" t="n">
        <v>0.17</v>
      </c>
      <c r="D19" s="31" t="s">
        <v>68</v>
      </c>
      <c r="E19" s="28" t="s">
        <v>84</v>
      </c>
    </row>
    <row r="20" customFormat="false" ht="15" hidden="false" customHeight="false" outlineLevel="0" collapsed="false">
      <c r="A20" s="5"/>
      <c r="B20" s="31" t="s">
        <v>77</v>
      </c>
      <c r="C20" s="34" t="n">
        <v>0.065</v>
      </c>
      <c r="D20" s="31" t="s">
        <v>68</v>
      </c>
      <c r="E20" s="28" t="s">
        <v>85</v>
      </c>
    </row>
    <row r="21" customFormat="false" ht="15" hidden="false" customHeight="false" outlineLevel="0" collapsed="false">
      <c r="A21" s="5"/>
      <c r="B21" s="31" t="s">
        <v>79</v>
      </c>
      <c r="C21" s="34" t="n">
        <v>0.2</v>
      </c>
      <c r="D21" s="31" t="s">
        <v>68</v>
      </c>
      <c r="E21" s="28" t="s">
        <v>86</v>
      </c>
    </row>
    <row r="22" customFormat="false" ht="15" hidden="false" customHeight="false" outlineLevel="0" collapsed="false">
      <c r="A22" s="5"/>
      <c r="B22" s="31" t="s">
        <v>81</v>
      </c>
      <c r="C22" s="34" t="n">
        <v>0.075</v>
      </c>
      <c r="D22" s="31" t="s">
        <v>68</v>
      </c>
      <c r="E22" s="28" t="s">
        <v>87</v>
      </c>
    </row>
    <row r="23" customFormat="false" ht="15" hidden="false" customHeight="false" outlineLevel="0" collapsed="false">
      <c r="A23" s="5"/>
      <c r="B23" s="5"/>
      <c r="C23" s="5"/>
      <c r="D23" s="5"/>
      <c r="E23" s="5"/>
    </row>
    <row r="24" customFormat="false" ht="15" hidden="false" customHeight="false" outlineLevel="0" collapsed="false">
      <c r="A24" s="5"/>
      <c r="B24" s="35" t="s">
        <v>88</v>
      </c>
      <c r="C24" s="15"/>
      <c r="D24" s="15"/>
      <c r="E24" s="15"/>
    </row>
    <row r="25" customFormat="false" ht="15" hidden="false" customHeight="false" outlineLevel="0" collapsed="false">
      <c r="A25" s="5"/>
      <c r="B25" s="31" t="s">
        <v>89</v>
      </c>
      <c r="C25" s="36" t="n">
        <v>0</v>
      </c>
      <c r="D25" s="31"/>
      <c r="E25" s="28" t="s">
        <v>90</v>
      </c>
    </row>
    <row r="26" customFormat="false" ht="15" hidden="false" customHeight="false" outlineLevel="0" collapsed="false">
      <c r="A26" s="5"/>
      <c r="B26" s="31" t="s">
        <v>91</v>
      </c>
      <c r="C26" s="36" t="n">
        <v>0</v>
      </c>
      <c r="D26" s="31"/>
      <c r="E26" s="28" t="s">
        <v>90</v>
      </c>
    </row>
    <row r="27" customFormat="false" ht="15" hidden="false" customHeight="false" outlineLevel="0" collapsed="false">
      <c r="A27" s="5"/>
      <c r="B27" s="31" t="s">
        <v>92</v>
      </c>
      <c r="C27" s="36" t="n">
        <v>0</v>
      </c>
      <c r="D27" s="31"/>
      <c r="E27" s="28" t="s">
        <v>90</v>
      </c>
    </row>
    <row r="28" customFormat="false" ht="15" hidden="false" customHeight="false" outlineLevel="0" collapsed="false">
      <c r="A28" s="5"/>
      <c r="B28" s="31" t="s">
        <v>93</v>
      </c>
      <c r="C28" s="36" t="n">
        <v>0</v>
      </c>
      <c r="D28" s="31"/>
      <c r="E28" s="28" t="s">
        <v>90</v>
      </c>
    </row>
    <row r="29" customFormat="false" ht="15" hidden="false" customHeight="false" outlineLevel="0" collapsed="false">
      <c r="A29" s="5"/>
      <c r="B29" s="31" t="s">
        <v>94</v>
      </c>
      <c r="C29" s="36" t="n">
        <v>0</v>
      </c>
      <c r="D29" s="31"/>
      <c r="E29" s="28" t="s">
        <v>90</v>
      </c>
    </row>
    <row r="30" customFormat="false" ht="15" hidden="false" customHeight="false" outlineLevel="0" collapsed="false">
      <c r="A30" s="5"/>
      <c r="B30" s="31" t="s">
        <v>95</v>
      </c>
      <c r="C30" s="36" t="n">
        <v>0</v>
      </c>
      <c r="D30" s="31"/>
      <c r="E30" s="28" t="s">
        <v>90</v>
      </c>
    </row>
    <row r="31" customFormat="false" ht="15" hidden="false" customHeight="false" outlineLevel="0" collapsed="false">
      <c r="A31" s="5"/>
      <c r="B31" s="5"/>
      <c r="C31" s="5"/>
      <c r="D31" s="5"/>
      <c r="E31" s="5"/>
    </row>
    <row r="32" customFormat="false" ht="15" hidden="false" customHeight="false" outlineLevel="0" collapsed="false">
      <c r="A32" s="5"/>
      <c r="B32" s="35" t="s">
        <v>96</v>
      </c>
      <c r="C32" s="15"/>
      <c r="D32" s="15"/>
      <c r="E32" s="15"/>
    </row>
    <row r="33" customFormat="false" ht="15" hidden="false" customHeight="false" outlineLevel="0" collapsed="false">
      <c r="A33" s="5"/>
      <c r="B33" s="31" t="s">
        <v>97</v>
      </c>
      <c r="C33" s="34" t="n">
        <v>0.003</v>
      </c>
      <c r="D33" s="31" t="s">
        <v>68</v>
      </c>
      <c r="E33" s="28" t="s">
        <v>98</v>
      </c>
    </row>
    <row r="34" customFormat="false" ht="15" hidden="false" customHeight="false" outlineLevel="0" collapsed="false">
      <c r="A34" s="5"/>
      <c r="B34" s="31" t="s">
        <v>99</v>
      </c>
      <c r="C34" s="34" t="n">
        <v>0.001</v>
      </c>
      <c r="D34" s="31" t="s">
        <v>68</v>
      </c>
      <c r="E34" s="28" t="s">
        <v>100</v>
      </c>
    </row>
    <row r="35" customFormat="false" ht="15" hidden="false" customHeight="false" outlineLevel="0" collapsed="false">
      <c r="A35" s="5"/>
      <c r="B35" s="31" t="s">
        <v>101</v>
      </c>
      <c r="C35" s="34" t="n">
        <v>0.0008</v>
      </c>
      <c r="D35" s="31" t="s">
        <v>68</v>
      </c>
      <c r="E35" s="28" t="s">
        <v>98</v>
      </c>
    </row>
    <row r="36" customFormat="false" ht="15" hidden="false" customHeight="false" outlineLevel="0" collapsed="false">
      <c r="A36" s="5"/>
      <c r="B36" s="5"/>
      <c r="C36" s="5"/>
      <c r="D36" s="5"/>
      <c r="E36" s="5"/>
    </row>
    <row r="37" customFormat="false" ht="15" hidden="false" customHeight="false" outlineLevel="0" collapsed="false">
      <c r="A37" s="5"/>
      <c r="B37" s="35" t="s">
        <v>102</v>
      </c>
      <c r="C37" s="15"/>
      <c r="D37" s="15"/>
      <c r="E37" s="15"/>
    </row>
    <row r="38" customFormat="false" ht="15" hidden="false" customHeight="false" outlineLevel="0" collapsed="false">
      <c r="A38" s="5"/>
      <c r="B38" s="31" t="s">
        <v>103</v>
      </c>
      <c r="C38" s="34" t="n">
        <v>0.03</v>
      </c>
      <c r="D38" s="31" t="s">
        <v>68</v>
      </c>
      <c r="E38" s="28" t="s">
        <v>104</v>
      </c>
    </row>
    <row r="39" customFormat="false" ht="15" hidden="false" customHeight="false" outlineLevel="0" collapsed="false">
      <c r="A39" s="5"/>
      <c r="B39" s="5"/>
      <c r="C39" s="5"/>
      <c r="D39" s="5"/>
      <c r="E39" s="5"/>
    </row>
    <row r="40" customFormat="false" ht="15" hidden="false" customHeight="false" outlineLevel="0" collapsed="false">
      <c r="A40" s="5"/>
      <c r="B40" s="35" t="s">
        <v>105</v>
      </c>
      <c r="C40" s="15"/>
      <c r="D40" s="15"/>
      <c r="E40" s="15"/>
    </row>
    <row r="41" customFormat="false" ht="15" hidden="false" customHeight="false" outlineLevel="0" collapsed="false">
      <c r="A41" s="5"/>
      <c r="B41" s="31" t="s">
        <v>106</v>
      </c>
      <c r="C41" s="36" t="n">
        <v>1.645</v>
      </c>
      <c r="D41" s="31" t="s">
        <v>63</v>
      </c>
      <c r="E41" s="28" t="s">
        <v>107</v>
      </c>
    </row>
    <row r="42" customFormat="false" ht="15" hidden="false" customHeight="false" outlineLevel="0" collapsed="false">
      <c r="A42" s="5"/>
      <c r="B42" s="31" t="s">
        <v>108</v>
      </c>
      <c r="C42" s="36" t="n">
        <v>2.326</v>
      </c>
      <c r="D42" s="31" t="s">
        <v>63</v>
      </c>
      <c r="E42" s="28" t="s">
        <v>107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F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8"/>
  </cols>
  <sheetData>
    <row r="1" customFormat="false" ht="15" hidden="false" customHeight="false" outlineLevel="0" collapsed="false">
      <c r="A1" s="5"/>
      <c r="B1" s="5"/>
      <c r="C1" s="5"/>
      <c r="D1" s="5"/>
      <c r="E1" s="5"/>
      <c r="F1" s="5"/>
    </row>
    <row r="2" customFormat="false" ht="22.05" hidden="false" customHeight="false" outlineLevel="0" collapsed="false">
      <c r="A2" s="5"/>
      <c r="B2" s="27" t="s">
        <v>109</v>
      </c>
      <c r="C2" s="5"/>
      <c r="D2" s="5"/>
      <c r="E2" s="5"/>
      <c r="F2" s="5"/>
    </row>
    <row r="3" customFormat="false" ht="15" hidden="false" customHeight="false" outlineLevel="0" collapsed="false">
      <c r="A3" s="5"/>
      <c r="B3" s="28" t="s">
        <v>110</v>
      </c>
      <c r="C3" s="5"/>
      <c r="D3" s="5"/>
      <c r="E3" s="5"/>
      <c r="F3" s="5"/>
    </row>
    <row r="4" customFormat="false" ht="15" hidden="false" customHeight="false" outlineLevel="0" collapsed="false">
      <c r="A4" s="5"/>
      <c r="B4" s="5"/>
      <c r="C4" s="5"/>
      <c r="D4" s="5"/>
      <c r="E4" s="5"/>
      <c r="F4" s="5"/>
    </row>
    <row r="5" customFormat="false" ht="15" hidden="false" customHeight="false" outlineLevel="0" collapsed="false">
      <c r="A5" s="5"/>
      <c r="B5" s="29" t="s">
        <v>111</v>
      </c>
      <c r="C5" s="30" t="s">
        <v>75</v>
      </c>
      <c r="D5" s="30" t="s">
        <v>77</v>
      </c>
      <c r="E5" s="30" t="s">
        <v>79</v>
      </c>
      <c r="F5" s="30" t="s">
        <v>81</v>
      </c>
    </row>
    <row r="6" customFormat="false" ht="15" hidden="false" customHeight="false" outlineLevel="0" collapsed="false">
      <c r="A6" s="5"/>
      <c r="B6" s="5"/>
      <c r="C6" s="5"/>
      <c r="D6" s="5"/>
      <c r="E6" s="5"/>
      <c r="F6" s="5"/>
    </row>
    <row r="7" customFormat="false" ht="15" hidden="false" customHeight="false" outlineLevel="0" collapsed="false">
      <c r="A7" s="5"/>
      <c r="B7" s="31" t="s">
        <v>112</v>
      </c>
      <c r="C7" s="37" t="n">
        <f aca="false">Eq_Vol</f>
        <v>0.17</v>
      </c>
      <c r="D7" s="37" t="n">
        <f aca="false">Bond_Vol</f>
        <v>0.065</v>
      </c>
      <c r="E7" s="37" t="n">
        <f aca="false">Comm_Vol</f>
        <v>0.2</v>
      </c>
      <c r="F7" s="37" t="n">
        <f aca="false">TIPS_Vol</f>
        <v>0.075</v>
      </c>
    </row>
    <row r="8" customFormat="false" ht="15" hidden="false" customHeight="false" outlineLevel="0" collapsed="false">
      <c r="A8" s="5"/>
      <c r="B8" s="31" t="s">
        <v>113</v>
      </c>
      <c r="C8" s="38" t="n">
        <f aca="false">1/C7</f>
        <v>5.88235294117647</v>
      </c>
      <c r="D8" s="38" t="n">
        <f aca="false">1/D7</f>
        <v>15.3846153846154</v>
      </c>
      <c r="E8" s="38" t="n">
        <f aca="false">1/E7</f>
        <v>5</v>
      </c>
      <c r="F8" s="38" t="n">
        <f aca="false">1/F7</f>
        <v>13.3333333333333</v>
      </c>
    </row>
    <row r="9" customFormat="false" ht="15" hidden="false" customHeight="false" outlineLevel="0" collapsed="false">
      <c r="A9" s="5"/>
      <c r="B9" s="31" t="s">
        <v>114</v>
      </c>
      <c r="C9" s="38" t="n">
        <f aca="false">C8+D8+E8+F8</f>
        <v>39.6003016591252</v>
      </c>
      <c r="D9" s="5"/>
      <c r="E9" s="5"/>
      <c r="F9" s="5"/>
    </row>
    <row r="10" customFormat="false" ht="15" hidden="false" customHeight="false" outlineLevel="0" collapsed="false">
      <c r="A10" s="5"/>
      <c r="B10" s="6" t="s">
        <v>115</v>
      </c>
      <c r="C10" s="39" t="n">
        <f aca="false">C8/$C$9</f>
        <v>0.148543134641021</v>
      </c>
      <c r="D10" s="39" t="n">
        <f aca="false">D8/$C$9</f>
        <v>0.388497429061131</v>
      </c>
      <c r="E10" s="39" t="n">
        <f aca="false">E8/$C$9</f>
        <v>0.126261664444868</v>
      </c>
      <c r="F10" s="39" t="n">
        <f aca="false">F8/$C$9</f>
        <v>0.33669777185298</v>
      </c>
    </row>
    <row r="11" customFormat="false" ht="15" hidden="false" customHeight="false" outlineLevel="0" collapsed="false">
      <c r="A11" s="5"/>
      <c r="B11" s="5"/>
      <c r="C11" s="5"/>
      <c r="D11" s="5"/>
      <c r="E11" s="5"/>
      <c r="F11" s="5"/>
    </row>
    <row r="12" customFormat="false" ht="15" hidden="false" customHeight="false" outlineLevel="0" collapsed="false">
      <c r="A12" s="5"/>
      <c r="B12" s="35" t="s">
        <v>116</v>
      </c>
      <c r="C12" s="15"/>
      <c r="D12" s="15"/>
      <c r="E12" s="15"/>
      <c r="F12" s="15"/>
    </row>
    <row r="13" customFormat="false" ht="15" hidden="false" customHeight="false" outlineLevel="0" collapsed="false">
      <c r="A13" s="5"/>
      <c r="B13" s="31" t="s">
        <v>117</v>
      </c>
      <c r="C13" s="37" t="n">
        <f aca="false">C10*C7</f>
        <v>0.0252523328889735</v>
      </c>
      <c r="D13" s="37" t="n">
        <f aca="false">D10*D7</f>
        <v>0.0252523328889735</v>
      </c>
      <c r="E13" s="37" t="n">
        <f aca="false">E10*E7</f>
        <v>0.0252523328889735</v>
      </c>
      <c r="F13" s="37" t="n">
        <f aca="false">F10*F7</f>
        <v>0.0252523328889735</v>
      </c>
    </row>
    <row r="14" customFormat="false" ht="15" hidden="false" customHeight="false" outlineLevel="0" collapsed="false">
      <c r="A14" s="5"/>
      <c r="B14" s="31" t="s">
        <v>118</v>
      </c>
      <c r="C14" s="5"/>
      <c r="D14" s="5"/>
      <c r="E14" s="5"/>
      <c r="F14" s="5"/>
    </row>
    <row r="15" customFormat="false" ht="15" hidden="false" customHeight="false" outlineLevel="0" collapsed="false">
      <c r="A15" s="5"/>
      <c r="B15" s="6" t="s">
        <v>119</v>
      </c>
      <c r="C15" s="39" t="n">
        <f aca="false">C10^2*Eq_Vol^2+D10^2*Bond_Vol^2+E10^2*Comm_Vol^2+F10^2*TIPS_Vol^2+2*C10*D10*Eq_Vol*Bond_Vol*Corr_Eq_Bond+2*C10*E10*Eq_Vol*Comm_Vol*Corr_Eq_Comm+2*C10*F10*Eq_Vol*TIPS_Vol*Corr_Eq_TIPS+2*D10*E10*Bond_Vol*Comm_Vol*Corr_Bond_Comm+2*D10*F10*Bond_Vol*TIPS_Vol*Corr_Bond_TIPS+2*E10*F10*Comm_Vol*TIPS_Vol*Corr_Comm_TIPS</f>
        <v>0.00255072126534214</v>
      </c>
      <c r="D15" s="5"/>
      <c r="E15" s="5"/>
      <c r="F15" s="5"/>
    </row>
    <row r="16" customFormat="false" ht="15" hidden="false" customHeight="false" outlineLevel="0" collapsed="false">
      <c r="A16" s="5"/>
      <c r="B16" s="31" t="s">
        <v>120</v>
      </c>
      <c r="C16" s="37" t="n">
        <f aca="false">SQRT(C15)</f>
        <v>0.0505046657779471</v>
      </c>
      <c r="D16" s="5"/>
      <c r="E16" s="5"/>
      <c r="F16" s="5"/>
    </row>
    <row r="17" customFormat="false" ht="15" hidden="false" customHeight="false" outlineLevel="0" collapsed="false">
      <c r="A17" s="5"/>
      <c r="B17" s="6" t="s">
        <v>121</v>
      </c>
      <c r="C17" s="40" t="n">
        <f aca="false">C16*Leverage_Ratio</f>
        <v>0.0757569986669206</v>
      </c>
      <c r="D17" s="5"/>
      <c r="E17" s="5"/>
      <c r="F17" s="5"/>
    </row>
    <row r="18" customFormat="false" ht="15" hidden="false" customHeight="false" outlineLevel="0" collapsed="false">
      <c r="A18" s="5"/>
      <c r="B18" s="5"/>
      <c r="C18" s="5"/>
      <c r="D18" s="5"/>
      <c r="E18" s="5"/>
      <c r="F18" s="5"/>
    </row>
    <row r="19" customFormat="false" ht="15" hidden="false" customHeight="false" outlineLevel="0" collapsed="false">
      <c r="A19" s="5"/>
      <c r="B19" s="35" t="s">
        <v>122</v>
      </c>
      <c r="C19" s="15"/>
      <c r="D19" s="15"/>
      <c r="E19" s="15"/>
      <c r="F19" s="15"/>
    </row>
    <row r="20" customFormat="false" ht="15" hidden="false" customHeight="false" outlineLevel="0" collapsed="false">
      <c r="A20" s="5"/>
      <c r="B20" s="31" t="s">
        <v>123</v>
      </c>
      <c r="C20" s="37" t="n">
        <f aca="false">C10*(C10*Eq_Vol^2+D10*Eq_Vol*Bond_Vol*Corr_Eq_Bond+E10*Eq_Vol*Comm_Vol*Corr_Eq_Comm+F10*Eq_Vol*TIPS_Vol*Corr_Eq_TIPS)/C15</f>
        <v>0.25</v>
      </c>
      <c r="D20" s="37" t="n">
        <f aca="false">D10*(D10*Bond_Vol^2+C10*Eq_Vol*Bond_Vol*Corr_Eq_Bond+E10*Bond_Vol*Comm_Vol*Corr_Bond_Comm+F10*Bond_Vol*TIPS_Vol*Corr_Bond_TIPS)/C15</f>
        <v>0.25</v>
      </c>
      <c r="E20" s="37" t="n">
        <f aca="false">E10*(E10*Comm_Vol^2+C10*Eq_Vol*Comm_Vol*Corr_Eq_Comm+D10*Bond_Vol*Comm_Vol*Corr_Bond_Comm+F10*Comm_Vol*TIPS_Vol*Corr_Comm_TIPS)/C15</f>
        <v>0.25</v>
      </c>
      <c r="F20" s="37" t="n">
        <f aca="false">F10*(F10*TIPS_Vol^2+C10*Eq_Vol*TIPS_Vol*Corr_Eq_TIPS+D10*Bond_Vol*TIPS_Vol*Corr_Bond_TIPS+E10*Comm_Vol*TIPS_Vol*Corr_Comm_TIPS)/C15</f>
        <v>0.25</v>
      </c>
    </row>
    <row r="21" customFormat="false" ht="15" hidden="false" customHeight="false" outlineLevel="0" collapsed="false">
      <c r="A21" s="5"/>
      <c r="B21" s="31" t="s">
        <v>124</v>
      </c>
      <c r="C21" s="37" t="n">
        <f aca="false">C20/(C20+D20+E20+F20)</f>
        <v>0.25</v>
      </c>
      <c r="D21" s="37" t="n">
        <f aca="false">D20/(C20+D20+E20+F20)</f>
        <v>0.25</v>
      </c>
      <c r="E21" s="37" t="n">
        <f aca="false">E20/(C20+D20+E20+F20)</f>
        <v>0.25</v>
      </c>
      <c r="F21" s="37" t="n">
        <f aca="false">F20/(C20+D20+E20+F20)</f>
        <v>0.25</v>
      </c>
    </row>
    <row r="22" customFormat="false" ht="15" hidden="false" customHeight="false" outlineLevel="0" collapsed="false">
      <c r="A22" s="5"/>
      <c r="B22" s="6" t="s">
        <v>125</v>
      </c>
      <c r="C22" s="39" t="n">
        <f aca="false">C21+D21+E21+F21</f>
        <v>1</v>
      </c>
      <c r="D22" s="5"/>
      <c r="E22" s="5"/>
      <c r="F22" s="5"/>
    </row>
    <row r="23" customFormat="false" ht="15" hidden="false" customHeight="false" outlineLevel="0" collapsed="false">
      <c r="A23" s="5"/>
      <c r="B23" s="5"/>
      <c r="C23" s="5"/>
      <c r="D23" s="5"/>
      <c r="E23" s="5"/>
      <c r="F23" s="5"/>
    </row>
    <row r="24" customFormat="false" ht="15" hidden="false" customHeight="false" outlineLevel="0" collapsed="false">
      <c r="A24" s="5"/>
      <c r="B24" s="35" t="s">
        <v>126</v>
      </c>
      <c r="C24" s="15"/>
      <c r="D24" s="15"/>
      <c r="E24" s="15"/>
      <c r="F24" s="15"/>
    </row>
    <row r="25" customFormat="false" ht="15" hidden="false" customHeight="false" outlineLevel="0" collapsed="false">
      <c r="A25" s="5"/>
      <c r="B25" s="31" t="s">
        <v>127</v>
      </c>
      <c r="C25" s="37" t="n">
        <f aca="false">C10</f>
        <v>0.148543134641021</v>
      </c>
      <c r="D25" s="37" t="n">
        <f aca="false">D10</f>
        <v>0.388497429061131</v>
      </c>
      <c r="E25" s="37" t="n">
        <f aca="false">E10</f>
        <v>0.126261664444868</v>
      </c>
      <c r="F25" s="37" t="n">
        <f aca="false">F10</f>
        <v>0.33669777185298</v>
      </c>
    </row>
    <row r="26" customFormat="false" ht="15" hidden="false" customHeight="false" outlineLevel="0" collapsed="false">
      <c r="A26" s="5"/>
      <c r="B26" s="31" t="s">
        <v>128</v>
      </c>
      <c r="C26" s="37" t="n">
        <f aca="false">C25*Leverage_Ratio</f>
        <v>0.222814701961531</v>
      </c>
      <c r="D26" s="37" t="n">
        <f aca="false">D25*Leverage_Ratio</f>
        <v>0.582746143591697</v>
      </c>
      <c r="E26" s="37" t="n">
        <f aca="false">E25*Leverage_Ratio</f>
        <v>0.189392496667301</v>
      </c>
      <c r="F26" s="37" t="n">
        <f aca="false">F25*Leverage_Ratio</f>
        <v>0.505046657779471</v>
      </c>
    </row>
    <row r="27" customFormat="false" ht="15" hidden="false" customHeight="false" outlineLevel="0" collapsed="false">
      <c r="A27" s="5"/>
      <c r="B27" s="6" t="s">
        <v>129</v>
      </c>
      <c r="C27" s="41" t="n">
        <f aca="false">C26*Initial_NAV</f>
        <v>22281470.1961531</v>
      </c>
      <c r="D27" s="41" t="n">
        <f aca="false">D26*Initial_NAV</f>
        <v>58274614.3591697</v>
      </c>
      <c r="E27" s="41" t="n">
        <f aca="false">E26*Initial_NAV</f>
        <v>18939249.6667301</v>
      </c>
      <c r="F27" s="41" t="n">
        <f aca="false">F26*Initial_NAV</f>
        <v>50504665.7779471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7" t="s">
        <v>130</v>
      </c>
      <c r="C2" s="5"/>
      <c r="D2" s="5"/>
      <c r="E2" s="5"/>
      <c r="F2" s="5"/>
      <c r="G2" s="5"/>
    </row>
    <row r="3" customFormat="false" ht="15" hidden="false" customHeight="false" outlineLevel="0" collapsed="false">
      <c r="A3" s="5"/>
      <c r="B3" s="28" t="s">
        <v>131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2"/>
      <c r="C5" s="43" t="n">
        <v>2025</v>
      </c>
      <c r="D5" s="43" t="n">
        <v>2026</v>
      </c>
      <c r="E5" s="43" t="n">
        <v>2027</v>
      </c>
      <c r="F5" s="43" t="n">
        <v>2028</v>
      </c>
      <c r="G5" s="43" t="n">
        <v>2029</v>
      </c>
    </row>
    <row r="6" customFormat="false" ht="15" hidden="false" customHeight="false" outlineLevel="0" collapsed="false">
      <c r="A6" s="5"/>
      <c r="B6" s="5"/>
      <c r="C6" s="5"/>
      <c r="D6" s="5"/>
      <c r="E6" s="5"/>
      <c r="F6" s="5"/>
      <c r="G6" s="5"/>
    </row>
    <row r="7" customFormat="false" ht="15" hidden="false" customHeight="false" outlineLevel="0" collapsed="false">
      <c r="A7" s="5"/>
      <c r="B7" s="35" t="s">
        <v>132</v>
      </c>
      <c r="C7" s="15"/>
      <c r="D7" s="15"/>
      <c r="E7" s="15"/>
      <c r="F7" s="15"/>
      <c r="G7" s="15"/>
    </row>
    <row r="8" customFormat="false" ht="15" hidden="false" customHeight="false" outlineLevel="0" collapsed="false">
      <c r="A8" s="5"/>
      <c r="B8" s="44" t="s">
        <v>133</v>
      </c>
      <c r="C8" s="37" t="n">
        <f aca="false">W_Eq*Eq_Return</f>
        <v>0.0148543134641021</v>
      </c>
      <c r="D8" s="37" t="n">
        <f aca="false">W_Eq*Eq_Return</f>
        <v>0.0148543134641021</v>
      </c>
      <c r="E8" s="37" t="n">
        <f aca="false">W_Eq*Eq_Return</f>
        <v>0.0148543134641021</v>
      </c>
      <c r="F8" s="37" t="n">
        <f aca="false">W_Eq*Eq_Return</f>
        <v>0.0148543134641021</v>
      </c>
      <c r="G8" s="37" t="n">
        <f aca="false">W_Eq*Eq_Return</f>
        <v>0.0148543134641021</v>
      </c>
    </row>
    <row r="9" customFormat="false" ht="15" hidden="false" customHeight="false" outlineLevel="0" collapsed="false">
      <c r="A9" s="5"/>
      <c r="B9" s="44" t="s">
        <v>134</v>
      </c>
      <c r="C9" s="37" t="n">
        <f aca="false">W_Bond*Bond_Return</f>
        <v>0.0271948200342792</v>
      </c>
      <c r="D9" s="37" t="n">
        <f aca="false">W_Bond*Bond_Return</f>
        <v>0.0271948200342792</v>
      </c>
      <c r="E9" s="37" t="n">
        <f aca="false">W_Bond*Bond_Return</f>
        <v>0.0271948200342792</v>
      </c>
      <c r="F9" s="37" t="n">
        <f aca="false">W_Bond*Bond_Return</f>
        <v>0.0271948200342792</v>
      </c>
      <c r="G9" s="37" t="n">
        <f aca="false">W_Bond*Bond_Return</f>
        <v>0.0271948200342792</v>
      </c>
    </row>
    <row r="10" customFormat="false" ht="15" hidden="false" customHeight="false" outlineLevel="0" collapsed="false">
      <c r="A10" s="5"/>
      <c r="B10" s="44" t="s">
        <v>135</v>
      </c>
      <c r="C10" s="37" t="n">
        <f aca="false">W_Comm*Comm_Return</f>
        <v>0.00883831651114074</v>
      </c>
      <c r="D10" s="37" t="n">
        <f aca="false">W_Comm*Comm_Return</f>
        <v>0.00883831651114074</v>
      </c>
      <c r="E10" s="37" t="n">
        <f aca="false">W_Comm*Comm_Return</f>
        <v>0.00883831651114074</v>
      </c>
      <c r="F10" s="37" t="n">
        <f aca="false">W_Comm*Comm_Return</f>
        <v>0.00883831651114074</v>
      </c>
      <c r="G10" s="37" t="n">
        <f aca="false">W_Comm*Comm_Return</f>
        <v>0.00883831651114074</v>
      </c>
    </row>
    <row r="11" customFormat="false" ht="15" hidden="false" customHeight="false" outlineLevel="0" collapsed="false">
      <c r="A11" s="5"/>
      <c r="B11" s="44" t="s">
        <v>136</v>
      </c>
      <c r="C11" s="37" t="n">
        <f aca="false">W_TIPS*TIPS_Return</f>
        <v>0.0202018663111788</v>
      </c>
      <c r="D11" s="37" t="n">
        <f aca="false">W_TIPS*TIPS_Return</f>
        <v>0.0202018663111788</v>
      </c>
      <c r="E11" s="37" t="n">
        <f aca="false">W_TIPS*TIPS_Return</f>
        <v>0.0202018663111788</v>
      </c>
      <c r="F11" s="37" t="n">
        <f aca="false">W_TIPS*TIPS_Return</f>
        <v>0.0202018663111788</v>
      </c>
      <c r="G11" s="37" t="n">
        <f aca="false">W_TIPS*TIPS_Return</f>
        <v>0.0202018663111788</v>
      </c>
    </row>
    <row r="12" customFormat="false" ht="15" hidden="false" customHeight="false" outlineLevel="0" collapsed="false">
      <c r="A12" s="5"/>
      <c r="B12" s="6" t="s">
        <v>137</v>
      </c>
      <c r="C12" s="39" t="n">
        <f aca="false">SUM(C8:C11)</f>
        <v>0.0710893163207008</v>
      </c>
      <c r="D12" s="39" t="n">
        <f aca="false">SUM(D8:D11)</f>
        <v>0.0710893163207008</v>
      </c>
      <c r="E12" s="39" t="n">
        <f aca="false">SUM(E8:E11)</f>
        <v>0.0710893163207008</v>
      </c>
      <c r="F12" s="39" t="n">
        <f aca="false">SUM(F8:F11)</f>
        <v>0.0710893163207008</v>
      </c>
      <c r="G12" s="39" t="n">
        <f aca="false">SUM(G8:G11)</f>
        <v>0.0710893163207008</v>
      </c>
    </row>
    <row r="13" customFormat="false" ht="15" hidden="false" customHeight="false" outlineLevel="0" collapsed="false">
      <c r="A13" s="5"/>
      <c r="B13" s="6" t="s">
        <v>138</v>
      </c>
      <c r="C13" s="40" t="n">
        <f aca="false">C12*Leverage_Ratio</f>
        <v>0.106633974481051</v>
      </c>
      <c r="D13" s="40" t="n">
        <f aca="false">D12*Leverage_Ratio</f>
        <v>0.106633974481051</v>
      </c>
      <c r="E13" s="40" t="n">
        <f aca="false">E12*Leverage_Ratio</f>
        <v>0.106633974481051</v>
      </c>
      <c r="F13" s="40" t="n">
        <f aca="false">F12*Leverage_Ratio</f>
        <v>0.106633974481051</v>
      </c>
      <c r="G13" s="40" t="n">
        <f aca="false">G12*Leverage_Ratio</f>
        <v>0.106633974481051</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35" t="s">
        <v>139</v>
      </c>
      <c r="C15" s="15"/>
      <c r="D15" s="15"/>
      <c r="E15" s="15"/>
      <c r="F15" s="15"/>
      <c r="G15" s="15"/>
    </row>
    <row r="16" customFormat="false" ht="15" hidden="false" customHeight="false" outlineLevel="0" collapsed="false">
      <c r="A16" s="5"/>
      <c r="B16" s="44" t="s">
        <v>140</v>
      </c>
      <c r="C16" s="37" t="n">
        <f aca="false">(Leverage_Ratio-1)*(Risk_Free_Rate+Financing_Spread)</f>
        <v>0.02</v>
      </c>
      <c r="D16" s="37" t="n">
        <f aca="false">(Leverage_Ratio-1)*(Risk_Free_Rate+Financing_Spread)</f>
        <v>0.02</v>
      </c>
      <c r="E16" s="37" t="n">
        <f aca="false">(Leverage_Ratio-1)*(Risk_Free_Rate+Financing_Spread)</f>
        <v>0.02</v>
      </c>
      <c r="F16" s="37" t="n">
        <f aca="false">(Leverage_Ratio-1)*(Risk_Free_Rate+Financing_Spread)</f>
        <v>0.02</v>
      </c>
      <c r="G16" s="37" t="n">
        <f aca="false">(Leverage_Ratio-1)*(Risk_Free_Rate+Financing_Spread)</f>
        <v>0.02</v>
      </c>
    </row>
    <row r="17" customFormat="false" ht="15" hidden="false" customHeight="false" outlineLevel="0" collapsed="false">
      <c r="A17" s="5"/>
      <c r="B17" s="44" t="s">
        <v>97</v>
      </c>
      <c r="C17" s="37" t="n">
        <f aca="false">Mgmt_Fee</f>
        <v>0.003</v>
      </c>
      <c r="D17" s="37" t="n">
        <f aca="false">Mgmt_Fee</f>
        <v>0.003</v>
      </c>
      <c r="E17" s="37" t="n">
        <f aca="false">Mgmt_Fee</f>
        <v>0.003</v>
      </c>
      <c r="F17" s="37" t="n">
        <f aca="false">Mgmt_Fee</f>
        <v>0.003</v>
      </c>
      <c r="G17" s="37" t="n">
        <f aca="false">Mgmt_Fee</f>
        <v>0.003</v>
      </c>
    </row>
    <row r="18" customFormat="false" ht="15" hidden="false" customHeight="false" outlineLevel="0" collapsed="false">
      <c r="A18" s="5"/>
      <c r="B18" s="44" t="s">
        <v>99</v>
      </c>
      <c r="C18" s="37" t="n">
        <f aca="false">Rebalance_Turnover*Txn_Cost_Per_Turn</f>
        <v>0.0003</v>
      </c>
      <c r="D18" s="37" t="n">
        <f aca="false">Rebalance_Turnover*Txn_Cost_Per_Turn</f>
        <v>0.0003</v>
      </c>
      <c r="E18" s="37" t="n">
        <f aca="false">Rebalance_Turnover*Txn_Cost_Per_Turn</f>
        <v>0.0003</v>
      </c>
      <c r="F18" s="37" t="n">
        <f aca="false">Rebalance_Turnover*Txn_Cost_Per_Turn</f>
        <v>0.0003</v>
      </c>
      <c r="G18" s="37" t="n">
        <f aca="false">Rebalance_Turnover*Txn_Cost_Per_Turn</f>
        <v>0.0003</v>
      </c>
    </row>
    <row r="19" customFormat="false" ht="15" hidden="false" customHeight="false" outlineLevel="0" collapsed="false">
      <c r="A19" s="5"/>
      <c r="B19" s="44" t="s">
        <v>141</v>
      </c>
      <c r="C19" s="37" t="n">
        <f aca="false">Admin_Fee</f>
        <v>0.0008</v>
      </c>
      <c r="D19" s="37" t="n">
        <f aca="false">Admin_Fee</f>
        <v>0.0008</v>
      </c>
      <c r="E19" s="37" t="n">
        <f aca="false">Admin_Fee</f>
        <v>0.0008</v>
      </c>
      <c r="F19" s="37" t="n">
        <f aca="false">Admin_Fee</f>
        <v>0.0008</v>
      </c>
      <c r="G19" s="37" t="n">
        <f aca="false">Admin_Fee</f>
        <v>0.0008</v>
      </c>
    </row>
    <row r="20" customFormat="false" ht="15" hidden="false" customHeight="false" outlineLevel="0" collapsed="false">
      <c r="A20" s="5"/>
      <c r="B20" s="6" t="s">
        <v>142</v>
      </c>
      <c r="C20" s="45" t="n">
        <f aca="false">SUM(C16:C19)</f>
        <v>0.0241</v>
      </c>
      <c r="D20" s="45" t="n">
        <f aca="false">SUM(D16:D19)</f>
        <v>0.0241</v>
      </c>
      <c r="E20" s="45" t="n">
        <f aca="false">SUM(E16:E19)</f>
        <v>0.0241</v>
      </c>
      <c r="F20" s="45" t="n">
        <f aca="false">SUM(F16:F19)</f>
        <v>0.0241</v>
      </c>
      <c r="G20" s="45" t="n">
        <f aca="false">SUM(G16:G19)</f>
        <v>0.0241</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6" t="s">
        <v>143</v>
      </c>
      <c r="C22" s="45" t="n">
        <f aca="false">C13-C20</f>
        <v>0.0825339744810513</v>
      </c>
      <c r="D22" s="45" t="n">
        <f aca="false">D13-D20</f>
        <v>0.0825339744810513</v>
      </c>
      <c r="E22" s="45" t="n">
        <f aca="false">E13-E20</f>
        <v>0.0825339744810513</v>
      </c>
      <c r="F22" s="45" t="n">
        <f aca="false">F13-F20</f>
        <v>0.0825339744810513</v>
      </c>
      <c r="G22" s="45" t="n">
        <f aca="false">G13-G20</f>
        <v>0.0825339744810513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7" t="s">
        <v>144</v>
      </c>
      <c r="C2" s="5"/>
      <c r="D2" s="5"/>
      <c r="E2" s="5"/>
      <c r="F2" s="5"/>
      <c r="G2" s="5"/>
    </row>
    <row r="3" customFormat="false" ht="15" hidden="false" customHeight="false" outlineLevel="0" collapsed="false">
      <c r="A3" s="5"/>
      <c r="B3" s="28" t="s">
        <v>145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6"/>
      <c r="C5" s="43" t="n">
        <v>2025</v>
      </c>
      <c r="D5" s="43" t="n">
        <v>2026</v>
      </c>
      <c r="E5" s="43" t="n">
        <v>2027</v>
      </c>
      <c r="F5" s="43" t="n">
        <v>2028</v>
      </c>
      <c r="G5" s="43" t="n">
        <v>2029</v>
      </c>
    </row>
    <row r="6" customFormat="false" ht="15" hidden="false" customHeight="false" outlineLevel="0" collapsed="false">
      <c r="A6" s="5"/>
      <c r="B6" s="5"/>
      <c r="C6" s="5"/>
      <c r="D6" s="5"/>
      <c r="E6" s="5"/>
      <c r="F6" s="5"/>
      <c r="G6" s="5"/>
    </row>
    <row r="7" customFormat="false" ht="15" hidden="false" customHeight="false" outlineLevel="0" collapsed="false">
      <c r="A7" s="5"/>
      <c r="B7" s="6" t="s">
        <v>146</v>
      </c>
      <c r="C7" s="47" t="n">
        <f aca="false">Initial_NAV</f>
        <v>100000000</v>
      </c>
      <c r="D7" s="47" t="n">
        <f aca="false">C15</f>
        <v>105253397.448105</v>
      </c>
      <c r="E7" s="47" t="n">
        <f aca="false">D15</f>
        <v>110782776.743688</v>
      </c>
      <c r="F7" s="47" t="n">
        <f aca="false">E15</f>
        <v>116602636.310081</v>
      </c>
      <c r="G7" s="47" t="n">
        <f aca="false">F15</f>
        <v>122728236.230418</v>
      </c>
    </row>
    <row r="8" customFormat="false" ht="15" hidden="false" customHeight="false" outlineLevel="0" collapsed="false">
      <c r="A8" s="5"/>
      <c r="B8" s="44" t="s">
        <v>147</v>
      </c>
      <c r="C8" s="48" t="n">
        <f aca="false">C7*Portfolio_Returns!C13</f>
        <v>10663397.4481051</v>
      </c>
      <c r="D8" s="48" t="n">
        <f aca="false">D7*Portfolio_Returns!D13</f>
        <v>11223588.0975252</v>
      </c>
      <c r="E8" s="48" t="n">
        <f aca="false">E7*Portfolio_Returns!E13</f>
        <v>11813207.7882264</v>
      </c>
      <c r="F8" s="48" t="n">
        <f aca="false">F7*Portfolio_Returns!F13</f>
        <v>12433802.5447124</v>
      </c>
      <c r="G8" s="48" t="n">
        <f aca="false">G7*Portfolio_Returns!G13</f>
        <v>13086999.6102988</v>
      </c>
    </row>
    <row r="9" customFormat="false" ht="15" hidden="false" customHeight="false" outlineLevel="0" collapsed="false">
      <c r="A9" s="5"/>
      <c r="B9" s="44" t="s">
        <v>140</v>
      </c>
      <c r="C9" s="48" t="n">
        <f aca="false">-C7*Portfolio_Returns!C16</f>
        <v>-2000000</v>
      </c>
      <c r="D9" s="48" t="n">
        <f aca="false">-D7*Portfolio_Returns!D16</f>
        <v>-2105067.9489621</v>
      </c>
      <c r="E9" s="48" t="n">
        <f aca="false">-E7*Portfolio_Returns!E16</f>
        <v>-2215655.53487376</v>
      </c>
      <c r="F9" s="48" t="n">
        <f aca="false">-F7*Portfolio_Returns!F16</f>
        <v>-2332052.72620161</v>
      </c>
      <c r="G9" s="48" t="n">
        <f aca="false">-G7*Portfolio_Returns!G16</f>
        <v>-2454564.72460836</v>
      </c>
    </row>
    <row r="10" customFormat="false" ht="15" hidden="false" customHeight="false" outlineLevel="0" collapsed="false">
      <c r="A10" s="5"/>
      <c r="B10" s="44" t="s">
        <v>97</v>
      </c>
      <c r="C10" s="48" t="n">
        <f aca="false">-C7*Mgmt_Fee</f>
        <v>-300000</v>
      </c>
      <c r="D10" s="48" t="n">
        <f aca="false">-D7*Mgmt_Fee</f>
        <v>-315760.192344315</v>
      </c>
      <c r="E10" s="48" t="n">
        <f aca="false">-E7*Mgmt_Fee</f>
        <v>-332348.330231064</v>
      </c>
      <c r="F10" s="48" t="n">
        <f aca="false">-F7*Mgmt_Fee</f>
        <v>-349807.908930242</v>
      </c>
      <c r="G10" s="48" t="n">
        <f aca="false">-G7*Mgmt_Fee</f>
        <v>-368184.708691253</v>
      </c>
    </row>
    <row r="11" customFormat="false" ht="15" hidden="false" customHeight="false" outlineLevel="0" collapsed="false">
      <c r="A11" s="5"/>
      <c r="B11" s="44" t="s">
        <v>99</v>
      </c>
      <c r="C11" s="48" t="n">
        <f aca="false">-C7*(Rebalance_Turnover*Txn_Cost_Per_Turn)</f>
        <v>-30000</v>
      </c>
      <c r="D11" s="48" t="n">
        <f aca="false">-D7*(Rebalance_Turnover*Txn_Cost_Per_Turn)</f>
        <v>-31576.0192344315</v>
      </c>
      <c r="E11" s="48" t="n">
        <f aca="false">-E7*(Rebalance_Turnover*Txn_Cost_Per_Turn)</f>
        <v>-33234.8330231063</v>
      </c>
      <c r="F11" s="48" t="n">
        <f aca="false">-F7*(Rebalance_Turnover*Txn_Cost_Per_Turn)</f>
        <v>-34980.7908930242</v>
      </c>
      <c r="G11" s="48" t="n">
        <f aca="false">-G7*(Rebalance_Turnover*Txn_Cost_Per_Turn)</f>
        <v>-36818.4708691253</v>
      </c>
    </row>
    <row r="12" customFormat="false" ht="15" hidden="false" customHeight="false" outlineLevel="0" collapsed="false">
      <c r="A12" s="5"/>
      <c r="B12" s="44" t="s">
        <v>141</v>
      </c>
      <c r="C12" s="48" t="n">
        <f aca="false">-C7*Admin_Fee</f>
        <v>-80000</v>
      </c>
      <c r="D12" s="48" t="n">
        <f aca="false">-D7*Admin_Fee</f>
        <v>-84202.7179584841</v>
      </c>
      <c r="E12" s="48" t="n">
        <f aca="false">-E7*Admin_Fee</f>
        <v>-88626.2213949503</v>
      </c>
      <c r="F12" s="48" t="n">
        <f aca="false">-F7*Admin_Fee</f>
        <v>-93282.1090480646</v>
      </c>
      <c r="G12" s="48" t="n">
        <f aca="false">-G7*Admin_Fee</f>
        <v>-98182.5889843342</v>
      </c>
    </row>
    <row r="13" customFormat="false" ht="15" hidden="false" customHeight="false" outlineLevel="0" collapsed="false">
      <c r="A13" s="5"/>
      <c r="B13" s="44" t="s">
        <v>148</v>
      </c>
      <c r="C13" s="48" t="n">
        <f aca="false">-C7*Annual_Dist_Rate</f>
        <v>-3000000</v>
      </c>
      <c r="D13" s="48" t="n">
        <f aca="false">-D7*Annual_Dist_Rate</f>
        <v>-3157601.92344315</v>
      </c>
      <c r="E13" s="48" t="n">
        <f aca="false">-E7*Annual_Dist_Rate</f>
        <v>-3323483.30231063</v>
      </c>
      <c r="F13" s="48" t="n">
        <f aca="false">-F7*Annual_Dist_Rate</f>
        <v>-3498079.08930242</v>
      </c>
      <c r="G13" s="48" t="n">
        <f aca="false">-G7*Annual_Dist_Rate</f>
        <v>-3681847.08691253</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6" t="s">
        <v>149</v>
      </c>
      <c r="C15" s="49" t="n">
        <f aca="false">SUM(C7:C13)</f>
        <v>105253397.448105</v>
      </c>
      <c r="D15" s="49" t="n">
        <f aca="false">SUM(D7:D13)</f>
        <v>110782776.743688</v>
      </c>
      <c r="E15" s="49" t="n">
        <f aca="false">SUM(E7:E13)</f>
        <v>116602636.310081</v>
      </c>
      <c r="F15" s="49" t="n">
        <f aca="false">SUM(F7:F13)</f>
        <v>122728236.230418</v>
      </c>
      <c r="G15" s="49" t="n">
        <f aca="false">SUM(G7:G13)</f>
        <v>129175638.260651</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31" t="s">
        <v>150</v>
      </c>
      <c r="C17" s="37" t="n">
        <f aca="false">C15/Initial_NAV-1</f>
        <v>0.0525339744810514</v>
      </c>
      <c r="D17" s="37" t="n">
        <f aca="false">D15/Initial_NAV-1</f>
        <v>0.107827767436878</v>
      </c>
      <c r="E17" s="37" t="n">
        <f aca="false">E15/Initial_NAV-1</f>
        <v>0.166026363100807</v>
      </c>
      <c r="F17" s="37" t="n">
        <f aca="false">F15/Initial_NAV-1</f>
        <v>0.227282362304178</v>
      </c>
      <c r="G17" s="37" t="n">
        <f aca="false">G15/Initial_NAV-1</f>
        <v>0.29175638260651</v>
      </c>
    </row>
    <row r="18" customFormat="false" ht="15" hidden="false" customHeight="false" outlineLevel="0" collapsed="false">
      <c r="A18" s="5"/>
      <c r="B18" s="31" t="s">
        <v>151</v>
      </c>
      <c r="C18" s="37" t="n">
        <f aca="false">(C15/Initial_NAV)^(1/(COLUMN(C1)-COLUMN(C1)+1))-1</f>
        <v>0.0525339744810514</v>
      </c>
      <c r="D18" s="37" t="n">
        <f aca="false">(D15/Initial_NAV)^(1/(COLUMN(D1)-COLUMN(C1)+1))-1</f>
        <v>0.0525339744810511</v>
      </c>
      <c r="E18" s="37" t="n">
        <f aca="false">(E15/Initial_NAV)^(1/(COLUMN(E1)-COLUMN(C1)+1))-1</f>
        <v>0.0525339744810514</v>
      </c>
      <c r="F18" s="37" t="n">
        <f aca="false">(F15/Initial_NAV)^(1/(COLUMN(F1)-COLUMN(C1)+1))-1</f>
        <v>0.0525339744810514</v>
      </c>
      <c r="G18" s="37" t="n">
        <f aca="false">(G15/Initial_NAV)^(1/(COLUMN(G1)-COLUMN(C1)+1))-1</f>
        <v>0.0525339744810514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7" t="s">
        <v>152</v>
      </c>
      <c r="C2" s="5"/>
      <c r="D2" s="5"/>
      <c r="E2" s="5"/>
      <c r="F2" s="5"/>
      <c r="G2" s="5"/>
    </row>
    <row r="3" customFormat="false" ht="15" hidden="false" customHeight="false" outlineLevel="0" collapsed="false">
      <c r="A3" s="5"/>
      <c r="B3" s="28" t="s">
        <v>153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6"/>
      <c r="C5" s="43" t="n">
        <v>2025</v>
      </c>
      <c r="D5" s="43" t="n">
        <v>2026</v>
      </c>
      <c r="E5" s="43" t="n">
        <v>2027</v>
      </c>
      <c r="F5" s="43" t="n">
        <v>2028</v>
      </c>
      <c r="G5" s="43" t="n">
        <v>2029</v>
      </c>
    </row>
    <row r="6" customFormat="false" ht="15" hidden="false" customHeight="false" outlineLevel="0" collapsed="false">
      <c r="A6" s="5"/>
      <c r="B6" s="5"/>
      <c r="C6" s="5"/>
      <c r="D6" s="5"/>
      <c r="E6" s="5"/>
      <c r="F6" s="5"/>
      <c r="G6" s="5"/>
    </row>
    <row r="7" customFormat="false" ht="15" hidden="false" customHeight="false" outlineLevel="0" collapsed="false">
      <c r="A7" s="5"/>
      <c r="B7" s="6" t="s">
        <v>146</v>
      </c>
      <c r="C7" s="47" t="n">
        <f aca="false">AUM_Rollforward!C7</f>
        <v>100000000</v>
      </c>
      <c r="D7" s="47" t="n">
        <f aca="false">AUM_Rollforward!D7</f>
        <v>105253397.448105</v>
      </c>
      <c r="E7" s="47" t="n">
        <f aca="false">AUM_Rollforward!E7</f>
        <v>110782776.743688</v>
      </c>
      <c r="F7" s="47" t="n">
        <f aca="false">AUM_Rollforward!F7</f>
        <v>116602636.310081</v>
      </c>
      <c r="G7" s="47" t="n">
        <f aca="false">AUM_Rollforward!G7</f>
        <v>122728236.230418</v>
      </c>
    </row>
    <row r="8" customFormat="false" ht="15" hidden="false" customHeight="false" outlineLevel="0" collapsed="false">
      <c r="A8" s="5"/>
      <c r="B8" s="5"/>
      <c r="C8" s="5"/>
      <c r="D8" s="5"/>
      <c r="E8" s="5"/>
      <c r="F8" s="5"/>
      <c r="G8" s="5"/>
    </row>
    <row r="9" customFormat="false" ht="15" hidden="false" customHeight="false" outlineLevel="0" collapsed="false">
      <c r="A9" s="5"/>
      <c r="B9" s="35" t="s">
        <v>154</v>
      </c>
      <c r="C9" s="15"/>
      <c r="D9" s="15"/>
      <c r="E9" s="15"/>
      <c r="F9" s="15"/>
      <c r="G9" s="15"/>
    </row>
    <row r="10" customFormat="false" ht="15" hidden="false" customHeight="false" outlineLevel="0" collapsed="false">
      <c r="A10" s="5"/>
      <c r="B10" s="44" t="s">
        <v>155</v>
      </c>
      <c r="C10" s="48" t="n">
        <f aca="false">C7*(Leverage_Ratio-1)</f>
        <v>50000000</v>
      </c>
      <c r="D10" s="48" t="n">
        <f aca="false">D7*(Leverage_Ratio-1)</f>
        <v>52626698.7240526</v>
      </c>
      <c r="E10" s="48" t="n">
        <f aca="false">E7*(Leverage_Ratio-1)</f>
        <v>55391388.3718439</v>
      </c>
      <c r="F10" s="48" t="n">
        <f aca="false">F7*(Leverage_Ratio-1)</f>
        <v>58301318.1550404</v>
      </c>
      <c r="G10" s="48" t="n">
        <f aca="false">G7*(Leverage_Ratio-1)</f>
        <v>61364118.1152089</v>
      </c>
    </row>
    <row r="11" customFormat="false" ht="15" hidden="false" customHeight="false" outlineLevel="0" collapsed="false">
      <c r="A11" s="5"/>
      <c r="B11" s="44" t="s">
        <v>156</v>
      </c>
      <c r="C11" s="37" t="n">
        <f aca="false">Risk_Free_Rate+Financing_Spread</f>
        <v>0.04</v>
      </c>
      <c r="D11" s="37" t="n">
        <f aca="false">Risk_Free_Rate+Financing_Spread</f>
        <v>0.04</v>
      </c>
      <c r="E11" s="37" t="n">
        <f aca="false">Risk_Free_Rate+Financing_Spread</f>
        <v>0.04</v>
      </c>
      <c r="F11" s="37" t="n">
        <f aca="false">Risk_Free_Rate+Financing_Spread</f>
        <v>0.04</v>
      </c>
      <c r="G11" s="37" t="n">
        <f aca="false">Risk_Free_Rate+Financing_Spread</f>
        <v>0.04</v>
      </c>
    </row>
    <row r="12" customFormat="false" ht="15" hidden="false" customHeight="false" outlineLevel="0" collapsed="false">
      <c r="A12" s="5"/>
      <c r="B12" s="50" t="s">
        <v>140</v>
      </c>
      <c r="C12" s="47" t="n">
        <f aca="false">C10*C11</f>
        <v>2000000</v>
      </c>
      <c r="D12" s="47" t="n">
        <f aca="false">D10*D11</f>
        <v>2105067.9489621</v>
      </c>
      <c r="E12" s="47" t="n">
        <f aca="false">E10*E11</f>
        <v>2215655.53487376</v>
      </c>
      <c r="F12" s="47" t="n">
        <f aca="false">F10*F11</f>
        <v>2332052.72620161</v>
      </c>
      <c r="G12" s="47" t="n">
        <f aca="false">G10*G11</f>
        <v>2454564.72460836</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5" t="s">
        <v>97</v>
      </c>
      <c r="C14" s="15"/>
      <c r="D14" s="15"/>
      <c r="E14" s="15"/>
      <c r="F14" s="15"/>
      <c r="G14" s="15"/>
    </row>
    <row r="15" customFormat="false" ht="15" hidden="false" customHeight="false" outlineLevel="0" collapsed="false">
      <c r="A15" s="5"/>
      <c r="B15" s="44" t="s">
        <v>157</v>
      </c>
      <c r="C15" s="37" t="n">
        <f aca="false">Mgmt_Fee</f>
        <v>0.003</v>
      </c>
      <c r="D15" s="37" t="n">
        <f aca="false">Mgmt_Fee</f>
        <v>0.003</v>
      </c>
      <c r="E15" s="37" t="n">
        <f aca="false">Mgmt_Fee</f>
        <v>0.003</v>
      </c>
      <c r="F15" s="37" t="n">
        <f aca="false">Mgmt_Fee</f>
        <v>0.003</v>
      </c>
      <c r="G15" s="37" t="n">
        <f aca="false">Mgmt_Fee</f>
        <v>0.003</v>
      </c>
    </row>
    <row r="16" customFormat="false" ht="15" hidden="false" customHeight="false" outlineLevel="0" collapsed="false">
      <c r="A16" s="5"/>
      <c r="B16" s="50" t="s">
        <v>158</v>
      </c>
      <c r="C16" s="47" t="n">
        <f aca="false">C7*C15</f>
        <v>300000</v>
      </c>
      <c r="D16" s="47" t="n">
        <f aca="false">D7*D15</f>
        <v>315760.192344315</v>
      </c>
      <c r="E16" s="47" t="n">
        <f aca="false">E7*E15</f>
        <v>332348.330231064</v>
      </c>
      <c r="F16" s="47" t="n">
        <f aca="false">F7*F15</f>
        <v>349807.908930242</v>
      </c>
      <c r="G16" s="47" t="n">
        <f aca="false">G7*G15</f>
        <v>368184.708691253</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5" t="s">
        <v>159</v>
      </c>
      <c r="C18" s="15"/>
      <c r="D18" s="15"/>
      <c r="E18" s="15"/>
      <c r="F18" s="15"/>
      <c r="G18" s="15"/>
    </row>
    <row r="19" customFormat="false" ht="15" hidden="false" customHeight="false" outlineLevel="0" collapsed="false">
      <c r="A19" s="5"/>
      <c r="B19" s="44" t="s">
        <v>160</v>
      </c>
      <c r="C19" s="37" t="n">
        <f aca="false">Rebalance_Turnover</f>
        <v>0.3</v>
      </c>
      <c r="D19" s="37" t="n">
        <f aca="false">Rebalance_Turnover</f>
        <v>0.3</v>
      </c>
      <c r="E19" s="37" t="n">
        <f aca="false">Rebalance_Turnover</f>
        <v>0.3</v>
      </c>
      <c r="F19" s="37" t="n">
        <f aca="false">Rebalance_Turnover</f>
        <v>0.3</v>
      </c>
      <c r="G19" s="37" t="n">
        <f aca="false">Rebalance_Turnover</f>
        <v>0.3</v>
      </c>
    </row>
    <row r="20" customFormat="false" ht="15" hidden="false" customHeight="false" outlineLevel="0" collapsed="false">
      <c r="A20" s="5"/>
      <c r="B20" s="44" t="s">
        <v>161</v>
      </c>
      <c r="C20" s="37" t="n">
        <f aca="false">Txn_Cost_Per_Turn</f>
        <v>0.001</v>
      </c>
      <c r="D20" s="37" t="n">
        <f aca="false">Txn_Cost_Per_Turn</f>
        <v>0.001</v>
      </c>
      <c r="E20" s="37" t="n">
        <f aca="false">Txn_Cost_Per_Turn</f>
        <v>0.001</v>
      </c>
      <c r="F20" s="37" t="n">
        <f aca="false">Txn_Cost_Per_Turn</f>
        <v>0.001</v>
      </c>
      <c r="G20" s="37" t="n">
        <f aca="false">Txn_Cost_Per_Turn</f>
        <v>0.001</v>
      </c>
    </row>
    <row r="21" customFormat="false" ht="15" hidden="false" customHeight="false" outlineLevel="0" collapsed="false">
      <c r="A21" s="5"/>
      <c r="B21" s="50" t="s">
        <v>99</v>
      </c>
      <c r="C21" s="47" t="n">
        <f aca="false">C7*C19*C20</f>
        <v>30000</v>
      </c>
      <c r="D21" s="47" t="n">
        <f aca="false">D7*D19*D20</f>
        <v>31576.0192344315</v>
      </c>
      <c r="E21" s="47" t="n">
        <f aca="false">E7*E19*E20</f>
        <v>33234.8330231063</v>
      </c>
      <c r="F21" s="47" t="n">
        <f aca="false">F7*F19*F20</f>
        <v>34980.7908930242</v>
      </c>
      <c r="G21" s="47" t="n">
        <f aca="false">G7*G19*G20</f>
        <v>36818.4708691253</v>
      </c>
    </row>
    <row r="22" customFormat="false" ht="15" hidden="false" customHeight="false" outlineLevel="0" collapsed="false">
      <c r="A22" s="5"/>
      <c r="B22" s="5"/>
      <c r="C22" s="5"/>
      <c r="D22" s="5"/>
      <c r="E22" s="5"/>
      <c r="F22" s="5"/>
      <c r="G22" s="5"/>
    </row>
    <row r="23" customFormat="false" ht="15" hidden="false" customHeight="false" outlineLevel="0" collapsed="false">
      <c r="A23" s="5"/>
      <c r="B23" s="35" t="s">
        <v>141</v>
      </c>
      <c r="C23" s="15"/>
      <c r="D23" s="15"/>
      <c r="E23" s="15"/>
      <c r="F23" s="15"/>
      <c r="G23" s="15"/>
    </row>
    <row r="24" customFormat="false" ht="15" hidden="false" customHeight="false" outlineLevel="0" collapsed="false">
      <c r="A24" s="5"/>
      <c r="B24" s="44" t="s">
        <v>162</v>
      </c>
      <c r="C24" s="37" t="n">
        <f aca="false">Admin_Fee</f>
        <v>0.0008</v>
      </c>
      <c r="D24" s="37" t="n">
        <f aca="false">Admin_Fee</f>
        <v>0.0008</v>
      </c>
      <c r="E24" s="37" t="n">
        <f aca="false">Admin_Fee</f>
        <v>0.0008</v>
      </c>
      <c r="F24" s="37" t="n">
        <f aca="false">Admin_Fee</f>
        <v>0.0008</v>
      </c>
      <c r="G24" s="37" t="n">
        <f aca="false">Admin_Fee</f>
        <v>0.0008</v>
      </c>
    </row>
    <row r="25" customFormat="false" ht="15" hidden="false" customHeight="false" outlineLevel="0" collapsed="false">
      <c r="A25" s="5"/>
      <c r="B25" s="50" t="s">
        <v>163</v>
      </c>
      <c r="C25" s="47" t="n">
        <f aca="false">C7*C24</f>
        <v>80000</v>
      </c>
      <c r="D25" s="47" t="n">
        <f aca="false">D7*D24</f>
        <v>84202.7179584841</v>
      </c>
      <c r="E25" s="47" t="n">
        <f aca="false">E7*E24</f>
        <v>88626.2213949503</v>
      </c>
      <c r="F25" s="47" t="n">
        <f aca="false">F7*F24</f>
        <v>93282.1090480646</v>
      </c>
      <c r="G25" s="47" t="n">
        <f aca="false">G7*G24</f>
        <v>98182.5889843342</v>
      </c>
    </row>
    <row r="26" customFormat="false" ht="15" hidden="false" customHeight="false" outlineLevel="0" collapsed="false">
      <c r="A26" s="5"/>
      <c r="B26" s="5"/>
      <c r="C26" s="5"/>
      <c r="D26" s="5"/>
      <c r="E26" s="5"/>
      <c r="F26" s="5"/>
      <c r="G26" s="5"/>
    </row>
    <row r="27" customFormat="false" ht="15" hidden="false" customHeight="false" outlineLevel="0" collapsed="false">
      <c r="A27" s="5"/>
      <c r="B27" s="6" t="s">
        <v>164</v>
      </c>
      <c r="C27" s="49" t="n">
        <f aca="false">C12+C16+C21+C25</f>
        <v>2410000</v>
      </c>
      <c r="D27" s="49" t="n">
        <f aca="false">D12+D16+D21+D25</f>
        <v>2536606.87849933</v>
      </c>
      <c r="E27" s="49" t="n">
        <f aca="false">E12+E16+E21+E25</f>
        <v>2669864.91952288</v>
      </c>
      <c r="F27" s="49" t="n">
        <f aca="false">F12+F16+F21+F25</f>
        <v>2810123.53507295</v>
      </c>
      <c r="G27" s="49" t="n">
        <f aca="false">G12+G16+G21+G25</f>
        <v>2957750.49315307</v>
      </c>
    </row>
    <row r="28" customFormat="false" ht="15" hidden="false" customHeight="false" outlineLevel="0" collapsed="false">
      <c r="A28" s="5"/>
      <c r="B28" s="31" t="s">
        <v>165</v>
      </c>
      <c r="C28" s="37" t="n">
        <f aca="false">IFERROR(C27/C7,0)</f>
        <v>0.0241</v>
      </c>
      <c r="D28" s="37" t="n">
        <f aca="false">IFERROR(D27/D7,0)</f>
        <v>0.0241</v>
      </c>
      <c r="E28" s="37" t="n">
        <f aca="false">IFERROR(E27/E7,0)</f>
        <v>0.0241</v>
      </c>
      <c r="F28" s="37" t="n">
        <f aca="false">IFERROR(F27/F7,0)</f>
        <v>0.0241</v>
      </c>
      <c r="G28" s="37" t="n">
        <f aca="false">IFERROR(G27/G7,0)</f>
        <v>0.0241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7" t="s">
        <v>166</v>
      </c>
      <c r="C2" s="5"/>
      <c r="D2" s="5"/>
      <c r="E2" s="5"/>
      <c r="F2" s="5"/>
      <c r="G2" s="5"/>
    </row>
    <row r="3" customFormat="false" ht="15" hidden="false" customHeight="false" outlineLevel="0" collapsed="false">
      <c r="A3" s="5"/>
      <c r="B3" s="28" t="s">
        <v>167</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46"/>
      <c r="C5" s="43" t="n">
        <v>2025</v>
      </c>
      <c r="D5" s="43" t="n">
        <v>2026</v>
      </c>
      <c r="E5" s="43" t="n">
        <v>2027</v>
      </c>
      <c r="F5" s="43" t="n">
        <v>2028</v>
      </c>
      <c r="G5" s="43" t="n">
        <v>2029</v>
      </c>
    </row>
    <row r="6" customFormat="false" ht="15" hidden="false" customHeight="false" outlineLevel="0" collapsed="false">
      <c r="A6" s="5"/>
      <c r="B6" s="5"/>
      <c r="C6" s="5"/>
      <c r="D6" s="5"/>
      <c r="E6" s="5"/>
      <c r="F6" s="5"/>
      <c r="G6" s="5"/>
    </row>
    <row r="7" customFormat="false" ht="15" hidden="false" customHeight="false" outlineLevel="0" collapsed="false">
      <c r="A7" s="5"/>
      <c r="B7" s="35" t="s">
        <v>168</v>
      </c>
      <c r="C7" s="15"/>
      <c r="D7" s="15"/>
      <c r="E7" s="15"/>
      <c r="F7" s="15"/>
      <c r="G7" s="15"/>
    </row>
    <row r="8" customFormat="false" ht="15" hidden="false" customHeight="false" outlineLevel="0" collapsed="false">
      <c r="A8" s="5"/>
      <c r="B8" s="31" t="s">
        <v>169</v>
      </c>
      <c r="C8" s="37" t="n">
        <f aca="false">Portfolio_Returns!C13</f>
        <v>0.106633974481051</v>
      </c>
      <c r="D8" s="37" t="n">
        <f aca="false">Portfolio_Returns!D13</f>
        <v>0.106633974481051</v>
      </c>
      <c r="E8" s="37" t="n">
        <f aca="false">Portfolio_Returns!E13</f>
        <v>0.106633974481051</v>
      </c>
      <c r="F8" s="37" t="n">
        <f aca="false">Portfolio_Returns!F13</f>
        <v>0.106633974481051</v>
      </c>
      <c r="G8" s="37" t="n">
        <f aca="false">Portfolio_Returns!G13</f>
        <v>0.106633974481051</v>
      </c>
    </row>
    <row r="9" customFormat="false" ht="15" hidden="false" customHeight="false" outlineLevel="0" collapsed="false">
      <c r="A9" s="5"/>
      <c r="B9" s="6" t="s">
        <v>170</v>
      </c>
      <c r="C9" s="40" t="n">
        <f aca="false">Portfolio_Returns!C22</f>
        <v>0.0825339744810513</v>
      </c>
      <c r="D9" s="40" t="n">
        <f aca="false">Portfolio_Returns!D22</f>
        <v>0.0825339744810513</v>
      </c>
      <c r="E9" s="40" t="n">
        <f aca="false">Portfolio_Returns!E22</f>
        <v>0.0825339744810513</v>
      </c>
      <c r="F9" s="40" t="n">
        <f aca="false">Portfolio_Returns!F22</f>
        <v>0.0825339744810513</v>
      </c>
      <c r="G9" s="40" t="n">
        <f aca="false">Portfolio_Returns!G22</f>
        <v>0.0825339744810513</v>
      </c>
    </row>
    <row r="10" customFormat="false" ht="15" hidden="false" customHeight="false" outlineLevel="0" collapsed="false">
      <c r="A10" s="5"/>
      <c r="B10" s="44" t="s">
        <v>171</v>
      </c>
      <c r="C10" s="37" t="n">
        <f aca="false">C8-C9</f>
        <v>0.0241</v>
      </c>
      <c r="D10" s="37" t="n">
        <f aca="false">D8-D9</f>
        <v>0.0241</v>
      </c>
      <c r="E10" s="37" t="n">
        <f aca="false">E8-E9</f>
        <v>0.0241</v>
      </c>
      <c r="F10" s="37" t="n">
        <f aca="false">F8-F9</f>
        <v>0.0241</v>
      </c>
      <c r="G10" s="37" t="n">
        <f aca="false">G8-G9</f>
        <v>0.0241</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35" t="s">
        <v>172</v>
      </c>
      <c r="C12" s="15"/>
      <c r="D12" s="15"/>
      <c r="E12" s="15"/>
      <c r="F12" s="15"/>
      <c r="G12" s="15"/>
    </row>
    <row r="13" customFormat="false" ht="15" hidden="false" customHeight="false" outlineLevel="0" collapsed="false">
      <c r="A13" s="5"/>
      <c r="B13" s="31" t="s">
        <v>173</v>
      </c>
      <c r="C13" s="37" t="n">
        <f aca="false">RPW_Port_Vol_Unlev</f>
        <v>0.0505046657779471</v>
      </c>
      <c r="D13" s="37" t="n">
        <f aca="false">RPW_Port_Vol_Unlev</f>
        <v>0.0505046657779471</v>
      </c>
      <c r="E13" s="37" t="n">
        <f aca="false">RPW_Port_Vol_Unlev</f>
        <v>0.0505046657779471</v>
      </c>
      <c r="F13" s="37" t="n">
        <f aca="false">RPW_Port_Vol_Unlev</f>
        <v>0.0505046657779471</v>
      </c>
      <c r="G13" s="37" t="n">
        <f aca="false">RPW_Port_Vol_Unlev</f>
        <v>0.0505046657779471</v>
      </c>
    </row>
    <row r="14" customFormat="false" ht="15" hidden="false" customHeight="false" outlineLevel="0" collapsed="false">
      <c r="A14" s="5"/>
      <c r="B14" s="6" t="s">
        <v>174</v>
      </c>
      <c r="C14" s="40" t="n">
        <f aca="false">RPW_Port_Vol_Lev</f>
        <v>0.0757569986669206</v>
      </c>
      <c r="D14" s="40" t="n">
        <f aca="false">RPW_Port_Vol_Lev</f>
        <v>0.0757569986669206</v>
      </c>
      <c r="E14" s="40" t="n">
        <f aca="false">RPW_Port_Vol_Lev</f>
        <v>0.0757569986669206</v>
      </c>
      <c r="F14" s="40" t="n">
        <f aca="false">RPW_Port_Vol_Lev</f>
        <v>0.0757569986669206</v>
      </c>
      <c r="G14" s="40" t="n">
        <f aca="false">RPW_Port_Vol_Lev</f>
        <v>0.0757569986669206</v>
      </c>
    </row>
    <row r="15" customFormat="false" ht="15" hidden="false" customHeight="false" outlineLevel="0" collapsed="false">
      <c r="A15" s="5"/>
      <c r="B15" s="6" t="s">
        <v>175</v>
      </c>
      <c r="C15" s="51" t="n">
        <f aca="false">IFERROR((C9-Risk_Free_Rate)/C14,0)</f>
        <v>0.627453242835596</v>
      </c>
      <c r="D15" s="51" t="n">
        <f aca="false">IFERROR((D9-Risk_Free_Rate)/D14,0)</f>
        <v>0.627453242835596</v>
      </c>
      <c r="E15" s="51" t="n">
        <f aca="false">IFERROR((E9-Risk_Free_Rate)/E14,0)</f>
        <v>0.627453242835596</v>
      </c>
      <c r="F15" s="51" t="n">
        <f aca="false">IFERROR((F9-Risk_Free_Rate)/F14,0)</f>
        <v>0.627453242835596</v>
      </c>
      <c r="G15" s="51" t="n">
        <f aca="false">IFERROR((G9-Risk_Free_Rate)/G14,0)</f>
        <v>0.627453242835596</v>
      </c>
    </row>
    <row r="16" customFormat="false" ht="15" hidden="false" customHeight="false" outlineLevel="0" collapsed="false">
      <c r="A16" s="5"/>
      <c r="B16" s="31" t="s">
        <v>176</v>
      </c>
      <c r="C16" s="48" t="n">
        <f aca="false">-AUM_Rollforward!C7*(C9-Z_Score_95*C14)</f>
        <v>4208628.83260331</v>
      </c>
      <c r="D16" s="48" t="n">
        <f aca="false">-AUM_Rollforward!D7*(D9-Z_Score_95*D14)</f>
        <v>4429724.83229551</v>
      </c>
      <c r="E16" s="48" t="n">
        <f aca="false">-AUM_Rollforward!E7*(E9-Z_Score_95*E14)</f>
        <v>4662435.8835934</v>
      </c>
      <c r="F16" s="48" t="n">
        <f aca="false">-AUM_Rollforward!F7*(F9-Z_Score_95*F14)</f>
        <v>4907372.17132164</v>
      </c>
      <c r="G16" s="48" t="n">
        <f aca="false">-AUM_Rollforward!G7*(G9-Z_Score_95*G14)</f>
        <v>5165175.93573887</v>
      </c>
    </row>
    <row r="17" customFormat="false" ht="15" hidden="false" customHeight="false" outlineLevel="0" collapsed="false">
      <c r="A17" s="5"/>
      <c r="B17" s="31" t="s">
        <v>177</v>
      </c>
      <c r="C17" s="48" t="n">
        <f aca="false">-AUM_Rollforward!C7*(C9-Z_Score_99*C14)</f>
        <v>9367680.44182061</v>
      </c>
      <c r="D17" s="48" t="n">
        <f aca="false">-AUM_Rollforward!D7*(D9-Z_Score_99*D14)</f>
        <v>9859801.92709785</v>
      </c>
      <c r="E17" s="48" t="n">
        <f aca="false">-AUM_Rollforward!E7*(E9-Z_Score_99*E14)</f>
        <v>10377776.5099242</v>
      </c>
      <c r="F17" s="48" t="n">
        <f aca="false">-AUM_Rollforward!F7*(F9-Z_Score_99*F14)</f>
        <v>10922962.3562666</v>
      </c>
      <c r="G17" s="48" t="n">
        <f aca="false">-AUM_Rollforward!G7*(G9-Z_Score_99*G14)</f>
        <v>11496788.9819482</v>
      </c>
    </row>
    <row r="18" customFormat="false" ht="15" hidden="false" customHeight="false" outlineLevel="0" collapsed="false">
      <c r="A18" s="5"/>
      <c r="B18" s="31" t="s">
        <v>178</v>
      </c>
      <c r="C18" s="37" t="n">
        <f aca="false">C14*2.5</f>
        <v>0.189392496667301</v>
      </c>
      <c r="D18" s="37" t="n">
        <f aca="false">D14*2.5</f>
        <v>0.189392496667301</v>
      </c>
      <c r="E18" s="37" t="n">
        <f aca="false">E14*2.5</f>
        <v>0.189392496667301</v>
      </c>
      <c r="F18" s="37" t="n">
        <f aca="false">F14*2.5</f>
        <v>0.189392496667301</v>
      </c>
      <c r="G18" s="37" t="n">
        <f aca="false">G14*2.5</f>
        <v>0.189392496667301</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5" t="s">
        <v>179</v>
      </c>
      <c r="C20" s="15"/>
      <c r="D20" s="15"/>
      <c r="E20" s="15"/>
      <c r="F20" s="15"/>
      <c r="G20" s="15"/>
    </row>
    <row r="21" customFormat="false" ht="15" hidden="false" customHeight="false" outlineLevel="0" collapsed="false">
      <c r="A21" s="5"/>
      <c r="B21" s="31" t="s">
        <v>180</v>
      </c>
      <c r="C21" s="52" t="n">
        <f aca="false">Leverage_Ratio</f>
        <v>1.5</v>
      </c>
      <c r="D21" s="52" t="n">
        <f aca="false">Leverage_Ratio</f>
        <v>1.5</v>
      </c>
      <c r="E21" s="52" t="n">
        <f aca="false">Leverage_Ratio</f>
        <v>1.5</v>
      </c>
      <c r="F21" s="52" t="n">
        <f aca="false">Leverage_Ratio</f>
        <v>1.5</v>
      </c>
      <c r="G21" s="52" t="n">
        <f aca="false">Leverage_Ratio</f>
        <v>1.5</v>
      </c>
    </row>
    <row r="22" customFormat="false" ht="15" hidden="false" customHeight="false" outlineLevel="0" collapsed="false">
      <c r="A22" s="5"/>
      <c r="B22" s="31" t="s">
        <v>65</v>
      </c>
      <c r="C22" s="52" t="n">
        <f aca="false">Max_Leverage</f>
        <v>3</v>
      </c>
      <c r="D22" s="52" t="n">
        <f aca="false">Max_Leverage</f>
        <v>3</v>
      </c>
      <c r="E22" s="52" t="n">
        <f aca="false">Max_Leverage</f>
        <v>3</v>
      </c>
      <c r="F22" s="52" t="n">
        <f aca="false">Max_Leverage</f>
        <v>3</v>
      </c>
      <c r="G22" s="52" t="n">
        <f aca="false">Max_Leverage</f>
        <v>3</v>
      </c>
    </row>
    <row r="23" customFormat="false" ht="15" hidden="false" customHeight="false" outlineLevel="0" collapsed="false">
      <c r="A23" s="5"/>
      <c r="B23" s="31" t="s">
        <v>181</v>
      </c>
      <c r="C23" s="52" t="n">
        <f aca="false">C22-C21</f>
        <v>1.5</v>
      </c>
      <c r="D23" s="52" t="n">
        <f aca="false">D22-D21</f>
        <v>1.5</v>
      </c>
      <c r="E23" s="52" t="n">
        <f aca="false">E22-E21</f>
        <v>1.5</v>
      </c>
      <c r="F23" s="52" t="n">
        <f aca="false">F22-F21</f>
        <v>1.5</v>
      </c>
      <c r="G23" s="52" t="n">
        <f aca="false">G22-G21</f>
        <v>1.5</v>
      </c>
    </row>
    <row r="24" customFormat="false" ht="15" hidden="false" customHeight="false" outlineLevel="0" collapsed="false">
      <c r="A24" s="5"/>
      <c r="B24" s="5"/>
      <c r="C24" s="5"/>
      <c r="D24" s="5"/>
      <c r="E24" s="5"/>
      <c r="F24" s="5"/>
      <c r="G24" s="5"/>
    </row>
    <row r="25" customFormat="false" ht="15" hidden="false" customHeight="false" outlineLevel="0" collapsed="false">
      <c r="A25" s="5"/>
      <c r="B25" s="35" t="s">
        <v>182</v>
      </c>
      <c r="C25" s="15"/>
      <c r="D25" s="15"/>
      <c r="E25" s="15"/>
      <c r="F25" s="15"/>
      <c r="G25" s="15"/>
    </row>
    <row r="26" customFormat="false" ht="15" hidden="false" customHeight="false" outlineLevel="0" collapsed="false">
      <c r="A26" s="5"/>
      <c r="B26" s="5"/>
      <c r="C26" s="5"/>
      <c r="D26" s="5"/>
      <c r="E26" s="5"/>
      <c r="F26" s="5"/>
      <c r="G26" s="5"/>
    </row>
    <row r="27" customFormat="false" ht="15" hidden="false" customHeight="false" outlineLevel="0" collapsed="false">
      <c r="A27" s="5"/>
      <c r="B27" s="31" t="s">
        <v>183</v>
      </c>
      <c r="C27" s="53" t="n">
        <f aca="false">IFERROR(C9/C14,0)</f>
        <v>1.08945676219206</v>
      </c>
      <c r="D27" s="53" t="n">
        <f aca="false">IFERROR(D9/D14,0)</f>
        <v>1.08945676219206</v>
      </c>
      <c r="E27" s="53" t="n">
        <f aca="false">IFERROR(E9/E14,0)</f>
        <v>1.08945676219206</v>
      </c>
      <c r="F27" s="53" t="n">
        <f aca="false">IFERROR(F9/F14,0)</f>
        <v>1.08945676219206</v>
      </c>
      <c r="G27" s="53" t="n">
        <f aca="false">IFERROR(G9/G14,0)</f>
        <v>1.08945676219206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6"/>
    <col collapsed="false" customWidth="true" hidden="false" outlineLevel="0" max="4" min="4" style="0" width="50"/>
  </cols>
  <sheetData>
    <row r="1" customFormat="false" ht="15" hidden="false" customHeight="false" outlineLevel="0" collapsed="false">
      <c r="A1" s="5"/>
      <c r="B1" s="5"/>
      <c r="C1" s="5"/>
      <c r="D1" s="5"/>
    </row>
    <row r="2" customFormat="false" ht="22.05" hidden="false" customHeight="false" outlineLevel="0" collapsed="false">
      <c r="A2" s="5"/>
      <c r="B2" s="27" t="s">
        <v>184</v>
      </c>
      <c r="C2" s="5"/>
      <c r="D2" s="5"/>
    </row>
    <row r="3" customFormat="false" ht="15" hidden="false" customHeight="false" outlineLevel="0" collapsed="false">
      <c r="A3" s="5"/>
      <c r="B3" s="28" t="s">
        <v>185</v>
      </c>
      <c r="C3" s="5"/>
      <c r="D3" s="5"/>
    </row>
    <row r="4" customFormat="false" ht="15" hidden="false" customHeight="false" outlineLevel="0" collapsed="false">
      <c r="A4" s="5"/>
      <c r="B4" s="5"/>
      <c r="C4" s="5"/>
      <c r="D4" s="5"/>
    </row>
    <row r="5" customFormat="false" ht="15" hidden="false" customHeight="false" outlineLevel="0" collapsed="false">
      <c r="A5" s="5"/>
      <c r="B5" s="29" t="s">
        <v>186</v>
      </c>
      <c r="C5" s="29" t="s">
        <v>187</v>
      </c>
      <c r="D5" s="29" t="s">
        <v>188</v>
      </c>
    </row>
    <row r="6" customFormat="false" ht="15" hidden="false" customHeight="false" outlineLevel="0" collapsed="false">
      <c r="A6" s="5"/>
      <c r="B6" s="5"/>
      <c r="C6" s="5"/>
      <c r="D6" s="5"/>
    </row>
    <row r="7" customFormat="false" ht="15" hidden="false" customHeight="false" outlineLevel="0" collapsed="false">
      <c r="A7" s="5"/>
      <c r="B7" s="31" t="s">
        <v>189</v>
      </c>
      <c r="C7" s="6" t="str">
        <f aca="false">IF(ABS(Risk_Parity_Weights!C10+Risk_Parity_Weights!D10+Risk_Parity_Weights!E10+Risk_Parity_Weights!F10-1)&lt;0.001,"PASS","FAIL")</f>
        <v>PASS</v>
      </c>
      <c r="D7" s="28" t="s">
        <v>190</v>
      </c>
    </row>
    <row r="8" customFormat="false" ht="15" hidden="false" customHeight="false" outlineLevel="0" collapsed="false">
      <c r="A8" s="5"/>
      <c r="B8" s="31" t="s">
        <v>191</v>
      </c>
      <c r="C8" s="6" t="str">
        <f aca="false">IF(AND(ABS(Risk_Parity_Weights!C21-0.25)&lt;0.05,ABS(Risk_Parity_Weights!D21-0.25)&lt;0.05,ABS(Risk_Parity_Weights!E21-0.25)&lt;0.05,ABS(Risk_Parity_Weights!F21-0.25)&lt;0.05),"PASS","FAIL")</f>
        <v>PASS</v>
      </c>
      <c r="D8" s="28" t="s">
        <v>192</v>
      </c>
    </row>
    <row r="9" customFormat="false" ht="15" hidden="false" customHeight="false" outlineLevel="0" collapsed="false">
      <c r="A9" s="5"/>
      <c r="B9" s="31" t="s">
        <v>193</v>
      </c>
      <c r="C9" s="6" t="str">
        <f aca="false">IF(ABS(AUM_Rollforward!G15-(AUM_Rollforward!G7+AUM_Rollforward!G8+AUM_Rollforward!G9+AUM_Rollforward!G10+AUM_Rollforward!G11+AUM_Rollforward!G12+AUM_Rollforward!G13))&lt;1,"PASS","FAIL")</f>
        <v>PASS</v>
      </c>
      <c r="D9" s="28" t="s">
        <v>194</v>
      </c>
    </row>
    <row r="10" customFormat="false" ht="15" hidden="false" customHeight="false" outlineLevel="0" collapsed="false">
      <c r="A10" s="5"/>
      <c r="B10" s="31" t="s">
        <v>195</v>
      </c>
      <c r="C10" s="6" t="str">
        <f aca="false">IF(ABS(Fee_Schedule!C12-Fee_Schedule!C10*Fee_Schedule!C11)&lt;1,"PASS","FAIL")</f>
        <v>PASS</v>
      </c>
      <c r="D10" s="28" t="s">
        <v>196</v>
      </c>
    </row>
    <row r="11" customFormat="false" ht="15" hidden="false" customHeight="false" outlineLevel="0" collapsed="false">
      <c r="A11" s="5"/>
      <c r="B11" s="31" t="s">
        <v>197</v>
      </c>
      <c r="C11" s="6" t="str">
        <f aca="false">IF(Risk_Metrics!C15&gt;0,"PASS","FAIL")</f>
        <v>PASS</v>
      </c>
      <c r="D11" s="28" t="s">
        <v>198</v>
      </c>
    </row>
    <row r="12" customFormat="false" ht="15" hidden="false" customHeight="false" outlineLevel="0" collapsed="false">
      <c r="A12" s="5"/>
      <c r="B12" s="31" t="s">
        <v>199</v>
      </c>
      <c r="C12" s="6" t="str">
        <f aca="false">IF(ABS(RPW_Port_Vol_Lev-RPW_Port_Vol_Unlev*Leverage_Ratio)&lt;0.001,"PASS","FAIL")</f>
        <v>PASS</v>
      </c>
      <c r="D12" s="28" t="s">
        <v>200</v>
      </c>
    </row>
    <row r="13" customFormat="false" ht="15" hidden="false" customHeight="false" outlineLevel="0" collapsed="false">
      <c r="A13" s="5"/>
      <c r="B13" s="31" t="s">
        <v>201</v>
      </c>
      <c r="C13" s="6" t="str">
        <f aca="false">IF(AND(Fee_Schedule!C28&gt;0.001,Fee_Schedule!C28&lt;0.15),"PASS","FAIL")</f>
        <v>PASS</v>
      </c>
      <c r="D13" s="28" t="s">
        <v>202</v>
      </c>
    </row>
    <row r="14" customFormat="false" ht="15" hidden="false" customHeight="false" outlineLevel="0" collapsed="false">
      <c r="A14" s="5"/>
      <c r="B14" s="31" t="s">
        <v>203</v>
      </c>
      <c r="C14" s="6" t="str">
        <f aca="false">IF(ABS(Risk_Parity_Weights!C22-1)&lt;0.01,"PASS","FAIL")</f>
        <v>PASS</v>
      </c>
      <c r="D14" s="28" t="s">
        <v>204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2026-05-15T18:53:46Z</dcterms:created>
  <dc:creator>openpyxl</dc:creator>
  <dc:description/>
  <dc:language>en-GB</dc:language>
  <cp:lastModifiedBy/>
  <dcterms:modified xsi:type="dcterms:W3CDTF">2026-05-15T18:53:46Z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