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Lease_Schedule" sheetId="4" state="visible" r:id="rId6"/>
    <sheet name="Operating_Income" sheetId="5" state="visible" r:id="rId7"/>
    <sheet name="Debt_Schedule" sheetId="6" state="visible" r:id="rId8"/>
    <sheet name="Cash_Flow" sheetId="7" state="visible" r:id="rId9"/>
    <sheet name="Seller_Analysis" sheetId="8" state="visible" r:id="rId10"/>
    <sheet name="Checks" sheetId="9" state="visible" r:id="rId11"/>
  </sheets>
  <definedNames>
    <definedName function="false" hidden="false" name="Asset_Mgmt_Pct" vbProcedure="false">Assumptions!$C$22</definedName>
    <definedName function="false" hidden="false" name="Base_Year" vbProcedure="false">Assumptions!$C$7</definedName>
    <definedName function="false" hidden="false" name="Book_Value" vbProcedure="false">Assumptions!$C$43</definedName>
    <definedName function="false" hidden="false" name="Capex_Reserve_Pct" vbProcedure="false">Assumptions!$C$23</definedName>
    <definedName function="false" hidden="false" name="CF_Equity" vbProcedure="false">Cash_Flow!$C$16:$L$16</definedName>
    <definedName function="false" hidden="false" name="CF_Levered" vbProcedure="false">Cash_Flow!$C$32:$L$32</definedName>
    <definedName function="false" hidden="false" name="CF_Lev_CF" vbProcedure="false">Cash_Flow!$C$21:$L$21</definedName>
    <definedName function="false" hidden="false" name="CF_Loan_Draw" vbProcedure="false">Cash_Flow!$C$15:$L$15</definedName>
    <definedName function="false" hidden="false" name="CF_Net_Proc" vbProcedure="false">Cash_Flow!$C$28:$L$28</definedName>
    <definedName function="false" hidden="false" name="CF_NOI" vbProcedure="false">Cash_Flow!$C$19:$L$19</definedName>
    <definedName function="false" hidden="false" name="CF_Total_Acq" vbProcedure="false">Cash_Flow!$C$12:$L$12</definedName>
    <definedName function="false" hidden="false" name="CF_Unlev" vbProcedure="false">Cash_Flow!$C$31:$L$31</definedName>
    <definedName function="false" hidden="false" name="CF_Year_Num" vbProcedure="false">Cash_Flow!$C$6:$L$6</definedName>
    <definedName function="false" hidden="false" name="Closing_Costs_Pct" vbProcedure="false">Assumptions!$C$12</definedName>
    <definedName function="false" hidden="false" name="Discount_Rate" vbProcedure="false">Assumptions!$C$33</definedName>
    <definedName function="false" hidden="false" name="DS_Closing" vbProcedure="false">Debt_Schedule!$C$14:$L$14</definedName>
    <definedName function="false" hidden="false" name="DS_DSCR" vbProcedure="false">Debt_Schedule!$C$21:$L$21</definedName>
    <definedName function="false" hidden="false" name="DS_Interest" vbProcedure="false">Debt_Schedule!$C$17:$L$17</definedName>
    <definedName function="false" hidden="false" name="DS_Loan_Amt" vbProcedure="false">Debt_Schedule!$C$9:$L$9</definedName>
    <definedName function="false" hidden="false" name="DS_Opening" vbProcedure="false">Debt_Schedule!$C$12:$L$12</definedName>
    <definedName function="false" hidden="false" name="DS_Principal" vbProcedure="false">Debt_Schedule!$C$13:$L$13</definedName>
    <definedName function="false" hidden="false" name="DS_Total_DS" vbProcedure="false">Debt_Schedule!$C$18:$L$18</definedName>
    <definedName function="false" hidden="false" name="DS_Year_Num" vbProcedure="false">Debt_Schedule!$C$6:$L$6</definedName>
    <definedName function="false" hidden="false" name="Escalation_Rate" vbProcedure="false">Assumptions!$C$17</definedName>
    <definedName function="false" hidden="false" name="Existing_Mortgage" vbProcedure="false">Assumptions!$C$39</definedName>
    <definedName function="false" hidden="false" name="Existing_PI" vbProcedure="false">Assumptions!$C$40</definedName>
    <definedName function="false" hidden="false" name="Exit_Cap_Rate" vbProcedure="false">Assumptions!$C$31</definedName>
    <definedName function="false" hidden="false" name="Going_In_Cap" vbProcedure="false">Assumptions!$C$15</definedName>
    <definedName function="false" hidden="false" name="Interest_Rate" vbProcedure="false">Assumptions!$C$26</definedName>
    <definedName function="false" hidden="false" name="IO_Period" vbProcedure="false">Assumptions!$C$28</definedName>
    <definedName function="false" hidden="false" name="Land_Pct" vbProcedure="false">Assumptions!$C$9</definedName>
    <definedName function="false" hidden="false" name="Lease_Term" vbProcedure="false">Assumptions!$C$16</definedName>
    <definedName function="false" hidden="false" name="Loan_Term" vbProcedure="false">Assumptions!$C$27</definedName>
    <definedName function="false" hidden="false" name="LS_Base_Rent" vbProcedure="false">Lease_Schedule!$C$9:$L$9</definedName>
    <definedName function="false" hidden="false" name="LS_NNN_Total" vbProcedure="false">Lease_Schedule!$C$14:$L$14</definedName>
    <definedName function="false" hidden="false" name="LS_Total_Occ" vbProcedure="false">Lease_Schedule!$C$16:$L$16</definedName>
    <definedName function="false" hidden="false" name="LS_Year_Num" vbProcedure="false">Lease_Schedule!$C$6:$L$6</definedName>
    <definedName function="false" hidden="false" name="LTV_Ratio" vbProcedure="false">Assumptions!$C$25</definedName>
    <definedName function="false" hidden="false" name="NNN_Insurance" vbProcedure="false">Assumptions!$C$19</definedName>
    <definedName function="false" hidden="false" name="NNN_Maintenance" vbProcedure="false">Assumptions!$C$20</definedName>
    <definedName function="false" hidden="false" name="NNN_Prop_Tax" vbProcedure="false">Assumptions!$C$18</definedName>
    <definedName function="false" hidden="false" name="OI_Depreciation" vbProcedure="false">Operating_Income!$C$20:$L$20</definedName>
    <definedName function="false" hidden="false" name="OI_EBIT" vbProcedure="false">Operating_Income!$C$21:$L$21</definedName>
    <definedName function="false" hidden="false" name="OI_Gross_Rent" vbProcedure="false">Operating_Income!$C$9:$L$9</definedName>
    <definedName function="false" hidden="false" name="OI_NOI" vbProcedure="false">Operating_Income!$C$16:$L$16</definedName>
    <definedName function="false" hidden="false" name="OI_Total_Cost" vbProcedure="false">Operating_Income!$C$14:$L$14</definedName>
    <definedName function="false" hidden="false" name="OI_Year_Num" vbProcedure="false">Operating_Income!$C$6:$L$6</definedName>
    <definedName function="false" hidden="false" name="Prior_Opex" vbProcedure="false">Assumptions!$C$41</definedName>
    <definedName function="false" hidden="false" name="Purchase_Price" vbProcedure="false">Assumptions!$C$8</definedName>
    <definedName function="false" hidden="false" name="SA_Lease_Cost" vbProcedure="false">Seller_Analysis!$C$25:$L$25</definedName>
    <definedName function="false" hidden="false" name="SA_Net_Capital" vbProcedure="false">Seller_Analysis!$C$13:$L$13</definedName>
    <definedName function="false" hidden="false" name="SA_Savings" vbProcedure="false">Seller_Analysis!$C$26:$L$26</definedName>
    <definedName function="false" hidden="false" name="SA_Total_Own" vbProcedure="false">Seller_Analysis!$C$24:$L$24</definedName>
    <definedName function="false" hidden="false" name="Seller_Tax_Rate" vbProcedure="false">Assumptions!$C$42</definedName>
    <definedName function="false" hidden="false" name="Selling_Costs_Pct" vbProcedure="false">Assumptions!$C$32</definedName>
    <definedName function="false" hidden="false" name="Target_CoC" vbProcedure="false">Assumptions!$C$37</definedName>
    <definedName function="false" hidden="false" name="Target_IRR" vbProcedure="false">Assumptions!$C$35</definedName>
    <definedName function="false" hidden="false" name="Target_Mult" vbProcedure="false">Assumptions!$C$36</definedName>
    <definedName function="false" hidden="false" name="TI_Allowance_Pct" vbProcedure="false">Assumptions!$C$13</definedName>
    <definedName function="false" hidden="false" name="Useful_Life" vbProcedure="false">Assumptions!$C$11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<sst xmlns="http://schemas.openxmlformats.org/spreadsheetml/2006/main" count="291" uniqueCount="233">
  <si>
    <t xml:space="preserve">Sale-Leaseback Financial Model</t>
  </si>
  <si>
    <t xml:space="preserve">FINAMODEL.com</t>
  </si>
  <si>
    <t xml:space="preserve">Transaction analysis</t>
  </si>
  <si>
    <t xml:space="preserve">Model Structure</t>
  </si>
  <si>
    <t xml:space="preserve">Cover</t>
  </si>
  <si>
    <t xml:space="preserve">Title and navigation</t>
  </si>
  <si>
    <t xml:space="preserve">Assumptions</t>
  </si>
  <si>
    <t xml:space="preserve">Model parameters</t>
  </si>
  <si>
    <t xml:space="preserve">Lease_Schedule</t>
  </si>
  <si>
    <t xml:space="preserve">Rent and NNN charges</t>
  </si>
  <si>
    <t xml:space="preserve">Operating_Income</t>
  </si>
  <si>
    <t xml:space="preserve">Buyer-lessor NOI</t>
  </si>
  <si>
    <t xml:space="preserve">Debt_Schedule</t>
  </si>
  <si>
    <t xml:space="preserve">Financing and metrics</t>
  </si>
  <si>
    <t xml:space="preserve">Cash_Flow</t>
  </si>
  <si>
    <t xml:space="preserve">Returns analysis</t>
  </si>
  <si>
    <t xml:space="preserve">Seller_Analysis</t>
  </si>
  <si>
    <t xml:space="preserve">Seller cost-benefit</t>
  </si>
  <si>
    <t xml:space="preserve">Checks</t>
  </si>
  <si>
    <t xml:space="preserve">Validation checks</t>
  </si>
  <si>
    <t xml:space="preserve">Tab Colour Legend</t>
  </si>
  <si>
    <t xml:space="preserve">Dark Blue</t>
  </si>
  <si>
    <t xml:space="preserve">Light Blue</t>
  </si>
  <si>
    <t xml:space="preserve">Assumptions / Inputs</t>
  </si>
  <si>
    <t xml:space="preserve">Green</t>
  </si>
  <si>
    <t xml:space="preserve">Revenue drivers</t>
  </si>
  <si>
    <t xml:space="preserve">Orange</t>
  </si>
  <si>
    <t xml:space="preserve">Cost schedules</t>
  </si>
  <si>
    <t xml:space="preserve">Red</t>
  </si>
  <si>
    <t xml:space="preserve">Debt / Risk</t>
  </si>
  <si>
    <t xml:space="preserve">Grey</t>
  </si>
  <si>
    <t xml:space="preserve">Summary / Output</t>
  </si>
  <si>
    <t xml:space="preserve">Purple</t>
  </si>
  <si>
    <t xml:space="preserve">Seller analysis</t>
  </si>
  <si>
    <t xml:space="preserve">About this model</t>
  </si>
  <si>
    <t xml:space="preserve">Model sale-leaseback economics for property owners unlocking capital while retaining occupancy, and for buyers acquiring yield-backed assets. From the seller side: compute net proceeds after transaction costs, compare ongoing lease payments to prior mortgage + opex, and measure NPV of lease obligation vs continued ownership. From the buyer (lessor) side: project annual base rent with escalators, model NNN pass-throughs (property tax, insurance, maintenance paid by tenant), and calculate Yield on Cost, levered IRR, and equity multiple at a target exit cap rate after 10-15 years.
The model applies going-in cap rates (5.5%-8.0% typical) to determine Year 1 rent; escalates rent 1.5%-3.0% annually (fixed or CPI-linked); and handles purchase price allocation to land (non-depreciated) and building (30-40 year life). Debt schedule tracks senior mortgage (55%-70% LTV), calculates DSCR (1.2-1.4x minimum), and models refinance or balloon risk at maturity. Exit value uses forward NOI (next year's rent divided by exit cap rate) to account for lease maturity.
Essential for corporate treasurers, REITs, and institutional real estate investors evaluating sale-leaseback opportunities. Works with private credit lenders assessing credit strength and coverage ratios.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</si>
  <si>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</si>
  <si>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</si>
  <si>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</si>
  <si>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</si>
  <si>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</si>
  <si>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</si>
  <si>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</si>
  <si>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</si>
  <si>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</si>
  <si>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</si>
  <si>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</si>
  <si>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</si>
  <si>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</si>
  <si>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</si>
  <si>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</si>
  <si>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</si>
  <si>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</si>
  <si>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</si>
  <si>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</si>
  <si>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</si>
  <si>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</si>
  <si>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Input parameters</t>
  </si>
  <si>
    <t xml:space="preserve">Parameter</t>
  </si>
  <si>
    <t xml:space="preserve">Value</t>
  </si>
  <si>
    <t xml:space="preserve">Unit</t>
  </si>
  <si>
    <t xml:space="preserve">Notes</t>
  </si>
  <si>
    <t xml:space="preserve">Property</t>
  </si>
  <si>
    <t xml:space="preserve">Base Year</t>
  </si>
  <si>
    <t xml:space="preserve">Year</t>
  </si>
  <si>
    <t xml:space="preserve">First operating year</t>
  </si>
  <si>
    <t xml:space="preserve">Purchase Price</t>
  </si>
  <si>
    <t xml:space="preserve">$</t>
  </si>
  <si>
    <t xml:space="preserve">Agreed sale price</t>
  </si>
  <si>
    <t xml:space="preserve">Land %</t>
  </si>
  <si>
    <t xml:space="preserve">%</t>
  </si>
  <si>
    <t xml:space="preserve">Non-depreciable portion</t>
  </si>
  <si>
    <t xml:space="preserve">Building Value</t>
  </si>
  <si>
    <t xml:space="preserve">Price*(1-Land%)</t>
  </si>
  <si>
    <t xml:space="preserve">Useful Life</t>
  </si>
  <si>
    <t xml:space="preserve">Years</t>
  </si>
  <si>
    <t xml:space="preserve">Building depreciation</t>
  </si>
  <si>
    <t xml:space="preserve">Closing Costs</t>
  </si>
  <si>
    <t xml:space="preserve">% of purchase price</t>
  </si>
  <si>
    <t xml:space="preserve">TI Allowance</t>
  </si>
  <si>
    <t xml:space="preserve">Tenant improvements</t>
  </si>
  <si>
    <t xml:space="preserve">Lease Terms</t>
  </si>
  <si>
    <t xml:space="preserve">Going-In Cap Rate</t>
  </si>
  <si>
    <t xml:space="preserve">Year 1 NOI / Price</t>
  </si>
  <si>
    <t xml:space="preserve">Lease Term</t>
  </si>
  <si>
    <t xml:space="preserve">Initial lease term</t>
  </si>
  <si>
    <t xml:space="preserve">Rent Escalation</t>
  </si>
  <si>
    <t xml:space="preserve">%/yr</t>
  </si>
  <si>
    <t xml:space="preserve">Annual fixed increase</t>
  </si>
  <si>
    <t xml:space="preserve">NNN Property Tax</t>
  </si>
  <si>
    <t xml:space="preserve">$/yr</t>
  </si>
  <si>
    <t xml:space="preserve">Passed to tenant</t>
  </si>
  <si>
    <t xml:space="preserve">NNN Insurance</t>
  </si>
  <si>
    <t xml:space="preserve">NNN Maintenance</t>
  </si>
  <si>
    <t xml:space="preserve">Buyer-Lessor Costs</t>
  </si>
  <si>
    <t xml:space="preserve">Asset Management</t>
  </si>
  <si>
    <t xml:space="preserve">% of property value</t>
  </si>
  <si>
    <t xml:space="preserve">Capex Reserve</t>
  </si>
  <si>
    <t xml:space="preserve">Financing</t>
  </si>
  <si>
    <t xml:space="preserve">Loan-to-Value</t>
  </si>
  <si>
    <t xml:space="preserve">Senior debt LTV</t>
  </si>
  <si>
    <t xml:space="preserve">Interest Rate</t>
  </si>
  <si>
    <t xml:space="preserve">Fixed annual rate</t>
  </si>
  <si>
    <t xml:space="preserve">Loan Term</t>
  </si>
  <si>
    <t xml:space="preserve">Total loan term</t>
  </si>
  <si>
    <t xml:space="preserve">IO Period</t>
  </si>
  <si>
    <t xml:space="preserve">Interest-only period</t>
  </si>
  <si>
    <t xml:space="preserve">Amortisation Period</t>
  </si>
  <si>
    <t xml:space="preserve">Loan Term - IO Period</t>
  </si>
  <si>
    <t xml:space="preserve">Disposition</t>
  </si>
  <si>
    <t xml:space="preserve">Exit Cap Rate</t>
  </si>
  <si>
    <t xml:space="preserve">+50bp above going-in</t>
  </si>
  <si>
    <t xml:space="preserve">Selling Costs</t>
  </si>
  <si>
    <t xml:space="preserve">Broker, legal, transfer</t>
  </si>
  <si>
    <t xml:space="preserve">Discount Rate</t>
  </si>
  <si>
    <t xml:space="preserve">NPV analysis</t>
  </si>
  <si>
    <t xml:space="preserve">Return Benchmarks</t>
  </si>
  <si>
    <t xml:space="preserve">Target IRR</t>
  </si>
  <si>
    <t xml:space="preserve">Minimum levered IRR</t>
  </si>
  <si>
    <t xml:space="preserve">Target Equity Multiple</t>
  </si>
  <si>
    <t xml:space="preserve">x</t>
  </si>
  <si>
    <t xml:space="preserve">Minimum MOIC</t>
  </si>
  <si>
    <t xml:space="preserve">Target Cash-on-Cash</t>
  </si>
  <si>
    <t xml:space="preserve">Minimum annual CoC</t>
  </si>
  <si>
    <t xml:space="preserve">Seller-Lessee</t>
  </si>
  <si>
    <t xml:space="preserve">Existing Mortgage</t>
  </si>
  <si>
    <t xml:space="preserve">Outstanding balance</t>
  </si>
  <si>
    <t xml:space="preserve">Annual P&amp;I</t>
  </si>
  <si>
    <t xml:space="preserve">Mortgage payment</t>
  </si>
  <si>
    <t xml:space="preserve">Prior Annual OpEx</t>
  </si>
  <si>
    <t xml:space="preserve">Tax+Ins+Maint+Mgmt</t>
  </si>
  <si>
    <t xml:space="preserve">Seller Tax Rate</t>
  </si>
  <si>
    <t xml:space="preserve">On gain from sale</t>
  </si>
  <si>
    <t xml:space="preserve">Book Value</t>
  </si>
  <si>
    <t xml:space="preserve">Net carrying value</t>
  </si>
  <si>
    <t xml:space="preserve">Lease Schedule</t>
  </si>
  <si>
    <t xml:space="preserve">Year Number</t>
  </si>
  <si>
    <t xml:space="preserve">Base Rent</t>
  </si>
  <si>
    <t xml:space="preserve">NNN Pass-Throughs</t>
  </si>
  <si>
    <t xml:space="preserve">Property Tax</t>
  </si>
  <si>
    <t xml:space="preserve">Insurance</t>
  </si>
  <si>
    <t xml:space="preserve">Maintenance</t>
  </si>
  <si>
    <t xml:space="preserve">Total NNN Charges</t>
  </si>
  <si>
    <t xml:space="preserve">TOTAL OCCUPANCY COST</t>
  </si>
  <si>
    <t xml:space="preserve">Operating Income</t>
  </si>
  <si>
    <t xml:space="preserve">Revenue</t>
  </si>
  <si>
    <t xml:space="preserve">Total Costs</t>
  </si>
  <si>
    <t xml:space="preserve">NET OPERATING INCOME</t>
  </si>
  <si>
    <t xml:space="preserve">NOI Margin</t>
  </si>
  <si>
    <t xml:space="preserve">Depreciation</t>
  </si>
  <si>
    <t xml:space="preserve">EBIT</t>
  </si>
  <si>
    <t xml:space="preserve">Debt Schedule</t>
  </si>
  <si>
    <t xml:space="preserve">Loan Sizing</t>
  </si>
  <si>
    <t xml:space="preserve">Loan Amount</t>
  </si>
  <si>
    <t xml:space="preserve">Balance Walk</t>
  </si>
  <si>
    <t xml:space="preserve">Opening Balance</t>
  </si>
  <si>
    <t xml:space="preserve">Principal Repayment</t>
  </si>
  <si>
    <t xml:space="preserve">Closing Balance</t>
  </si>
  <si>
    <t xml:space="preserve">Debt Service</t>
  </si>
  <si>
    <t xml:space="preserve">Interest Expense</t>
  </si>
  <si>
    <t xml:space="preserve">TOTAL DEBT SERVICE</t>
  </si>
  <si>
    <t xml:space="preserve">Coverage Metrics</t>
  </si>
  <si>
    <t xml:space="preserve">DSCR</t>
  </si>
  <si>
    <t xml:space="preserve">Debt Yield</t>
  </si>
  <si>
    <t xml:space="preserve">LTV Ratio</t>
  </si>
  <si>
    <t xml:space="preserve">Cash Flow &amp; Returns</t>
  </si>
  <si>
    <t xml:space="preserve">Acquisition</t>
  </si>
  <si>
    <t xml:space="preserve">Total Acquisition</t>
  </si>
  <si>
    <t xml:space="preserve">Loan Drawdown</t>
  </si>
  <si>
    <t xml:space="preserve">Equity Required</t>
  </si>
  <si>
    <t xml:space="preserve">Operating Cash Flow</t>
  </si>
  <si>
    <t xml:space="preserve">Net Operating Income</t>
  </si>
  <si>
    <t xml:space="preserve">Levered Cash Flow</t>
  </si>
  <si>
    <t xml:space="preserve">Forward Year NOI</t>
  </si>
  <si>
    <t xml:space="preserve">Exit Value</t>
  </si>
  <si>
    <t xml:space="preserve">Loan Payoff</t>
  </si>
  <si>
    <t xml:space="preserve">Net Sale Proceeds</t>
  </si>
  <si>
    <t xml:space="preserve">Cash Flow Streams</t>
  </si>
  <si>
    <t xml:space="preserve">Unlevered Cash Flow</t>
  </si>
  <si>
    <t xml:space="preserve">Return Metrics</t>
  </si>
  <si>
    <t xml:space="preserve">Unlevered IRR</t>
  </si>
  <si>
    <t xml:space="preserve">Levered IRR</t>
  </si>
  <si>
    <t xml:space="preserve">Equity Multiple</t>
  </si>
  <si>
    <t xml:space="preserve">Cash-on-Cash (Y1)</t>
  </si>
  <si>
    <t xml:space="preserve">Benchmark Checks</t>
  </si>
  <si>
    <t xml:space="preserve">IRR vs Target</t>
  </si>
  <si>
    <t xml:space="preserve">Multiple vs Target</t>
  </si>
  <si>
    <t xml:space="preserve">CoC vs Target</t>
  </si>
  <si>
    <t xml:space="preserve">Seller-Lessee Analysis</t>
  </si>
  <si>
    <t xml:space="preserve">Cost-benefit analysis</t>
  </si>
  <si>
    <t xml:space="preserve">Sale Proceeds</t>
  </si>
  <si>
    <t xml:space="preserve">Sale Price</t>
  </si>
  <si>
    <t xml:space="preserve">Transaction Costs</t>
  </si>
  <si>
    <t xml:space="preserve">Gross Proceeds</t>
  </si>
  <si>
    <t xml:space="preserve">Mortgage Payoff</t>
  </si>
  <si>
    <t xml:space="preserve">NET CAPITAL FREED</t>
  </si>
  <si>
    <t xml:space="preserve">Gain / Loss on Sale</t>
  </si>
  <si>
    <t xml:space="preserve">Gain / (Loss)</t>
  </si>
  <si>
    <t xml:space="preserve">Tax on Gain</t>
  </si>
  <si>
    <t xml:space="preserve">Net After-Tax Gain</t>
  </si>
  <si>
    <t xml:space="preserve">Annual Cost Comparison</t>
  </si>
  <si>
    <t xml:space="preserve">Prior Mortgage P&amp;I</t>
  </si>
  <si>
    <t xml:space="preserve">Prior Operating Costs</t>
  </si>
  <si>
    <t xml:space="preserve">Total Ownership Cost</t>
  </si>
  <si>
    <t xml:space="preserve">Lease Cost</t>
  </si>
  <si>
    <t xml:space="preserve">Annual Savings / (Cost)</t>
  </si>
  <si>
    <t xml:space="preserve">NPV Comparison</t>
  </si>
  <si>
    <t xml:space="preserve">NPV of Lease Cost</t>
  </si>
  <si>
    <t xml:space="preserve">NPV of Ownership Cost</t>
  </si>
  <si>
    <t xml:space="preserve">NPV Advantage of SLB</t>
  </si>
  <si>
    <t xml:space="preserve">Model Checks</t>
  </si>
  <si>
    <t xml:space="preserve">Validation</t>
  </si>
  <si>
    <t xml:space="preserve">Check</t>
  </si>
  <si>
    <t xml:space="preserve">Result</t>
  </si>
  <si>
    <t xml:space="preserve">Criteria</t>
  </si>
  <si>
    <t xml:space="preserve">Sources = Uses</t>
  </si>
  <si>
    <t xml:space="preserve">Equity + Debt = Total Cost</t>
  </si>
  <si>
    <t xml:space="preserve">Must balance to zero</t>
  </si>
  <si>
    <t xml:space="preserve">DSCR &gt;= 1.20x</t>
  </si>
  <si>
    <t xml:space="preserve">Minimum DSCR across all periods</t>
  </si>
  <si>
    <t xml:space="preserve">Debt Yield &gt;= 8%</t>
  </si>
  <si>
    <t xml:space="preserve">Minimum debt yield across all periods</t>
  </si>
  <si>
    <t xml:space="preserve">NOI Margin 85-98%</t>
  </si>
  <si>
    <t xml:space="preserve">NNN structure: NOI close to gross rent</t>
  </si>
  <si>
    <t xml:space="preserve">Levered IRR 6-25%</t>
  </si>
  <si>
    <t xml:space="preserve">Sanity check on levered returns</t>
  </si>
  <si>
    <t xml:space="preserve">Equity Multiple &gt; 1.0x</t>
  </si>
  <si>
    <t xml:space="preserve">Capital returned exceeds invested</t>
  </si>
  <si>
    <t xml:space="preserve">Cash-on-Cash &gt; 0%</t>
  </si>
  <si>
    <t xml:space="preserve">Positive yield on equity in Year 1</t>
  </si>
  <si>
    <t xml:space="preserve">Loan Declining Post-IO</t>
  </si>
  <si>
    <t xml:space="preserve">Closing &lt; Opening</t>
  </si>
  <si>
    <t xml:space="preserve">Amortisation reducing balance</t>
  </si>
</sst>
</file>

<file path=xl/styles.xml><?xml version="1.0" encoding="utf-8"?>
<styleSheet xmlns="http://schemas.openxmlformats.org/spreadsheetml/2006/main">
  <numFmts count="7">
    <numFmt numFmtId="164" formatCode="General"/>
    <numFmt numFmtId="165" formatCode="0"/>
    <numFmt numFmtId="166" formatCode="\$#,##0.00"/>
    <numFmt numFmtId="167" formatCode="0.00%"/>
    <numFmt numFmtId="168" formatCode="0.00\x"/>
    <numFmt numFmtId="169" formatCode="#,##0.00"/>
    <numFmt numFmtId="170" formatCode="0.00"/>
  </numFmts>
  <fonts count="23">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sz val="11"/>
      <color rgb="FF2E75B6"/>
      <name val="Arial"/>
      <family val="0"/>
      <charset val="1"/>
    </font>
    <font>
      <sz val="11"/>
      <color rgb="FF000000"/>
      <name val="Arial"/>
      <family val="0"/>
      <charset val="1"/>
    </font>
  </fonts>
  <fills count="13">
    <fill>
      <patternFill patternType="none"/>
    </fill>
    <fill>
      <patternFill patternType="gray125"/>
    </fill>
    <fill>
      <patternFill patternType="solid">
        <fgColor theme="3"/>
        <bgColor rgb="FF1F4E79"/>
      </patternFill>
    </fill>
    <fill>
      <patternFill patternType="solid">
        <fgColor rgb="FF5B9BD5"/>
        <bgColor rgb="FF2E75B6"/>
      </patternFill>
    </fill>
    <fill>
      <patternFill patternType="solid">
        <fgColor rgb="FF70AD47"/>
        <bgColor rgb="FF99CC00"/>
      </patternFill>
    </fill>
    <fill>
      <patternFill patternType="solid">
        <fgColor rgb="FFED7D31"/>
        <bgColor rgb="FFFF8080"/>
      </patternFill>
    </fill>
    <fill>
      <patternFill patternType="solid">
        <fgColor rgb="FFFF0000"/>
        <bgColor rgb="FF993300"/>
      </patternFill>
    </fill>
    <fill>
      <patternFill patternType="solid">
        <fgColor rgb="FFA5A5A5"/>
        <bgColor rgb="FFC0C0C0"/>
      </patternFill>
    </fill>
    <fill>
      <patternFill patternType="solid">
        <fgColor rgb="FF7030A0"/>
        <bgColor rgb="FF993366"/>
      </patternFill>
    </fill>
    <fill>
      <patternFill patternType="solid">
        <fgColor rgb="FFD6E4F0"/>
        <bgColor rgb="FFEBF1FA"/>
      </patternFill>
    </fill>
    <fill>
      <patternFill patternType="solid">
        <fgColor rgb="FF1F4E79"/>
        <bgColor rgb="FF1F497D"/>
      </patternFill>
    </fill>
    <fill>
      <patternFill patternType="solid">
        <fgColor rgb="FFF2F2F2"/>
        <bgColor rgb="FFEBF1FA"/>
      </patternFill>
    </fill>
    <fill>
      <patternFill patternType="solid">
        <fgColor rgb="FFEBF1FA"/>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1" fillId="9" borderId="0" xfId="0" applyFont="true" applyBorder="false" applyAlignment="true" applyProtection="false">
      <alignment horizontal="left" vertical="center" textRotation="0" wrapText="false" indent="0" shrinkToFit="false"/>
      <protection locked="true" hidden="false"/>
    </xf>
    <xf numFmtId="164" fontId="8" fillId="9"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6" fillId="10"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19" fillId="11"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6" fillId="10" borderId="0" xfId="0" applyFont="true" applyBorder="false" applyAlignment="true" applyProtection="false">
      <alignment horizontal="left" vertical="center" textRotation="0" wrapText="false" indent="0" shrinkToFit="false"/>
      <protection locked="true" hidden="false"/>
    </xf>
    <xf numFmtId="164" fontId="16" fillId="10" borderId="0" xfId="0" applyFont="true" applyBorder="false" applyAlignment="true" applyProtection="false">
      <alignment horizontal="center" vertical="center" textRotation="0" wrapText="false" indent="0" shrinkToFit="false"/>
      <protection locked="true" hidden="false"/>
    </xf>
    <xf numFmtId="164" fontId="11" fillId="9" borderId="0" xfId="0" applyFont="true" applyBorder="false" applyAlignment="false" applyProtection="false">
      <alignment horizontal="general" vertical="bottom" textRotation="0" wrapText="false" indent="0" shrinkToFit="false"/>
      <protection locked="true" hidden="false"/>
    </xf>
    <xf numFmtId="165" fontId="21" fillId="12"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6" fontId="21" fillId="12" borderId="0" xfId="0" applyFont="true" applyBorder="false" applyAlignment="true" applyProtection="false">
      <alignment horizontal="right" vertical="center" textRotation="0" wrapText="false" indent="0" shrinkToFit="false"/>
      <protection locked="true" hidden="false"/>
    </xf>
    <xf numFmtId="167" fontId="21" fillId="12" borderId="0" xfId="0" applyFont="true" applyBorder="false" applyAlignment="true" applyProtection="false">
      <alignment horizontal="right" vertical="center" textRotation="0" wrapText="false" indent="0" shrinkToFit="false"/>
      <protection locked="true" hidden="false"/>
    </xf>
    <xf numFmtId="166" fontId="22" fillId="12" borderId="0" xfId="0" applyFont="true" applyBorder="false" applyAlignment="true" applyProtection="false">
      <alignment horizontal="right" vertical="center" textRotation="0" wrapText="false" indent="0" shrinkToFit="false"/>
      <protection locked="true" hidden="false"/>
    </xf>
    <xf numFmtId="165" fontId="22" fillId="12" borderId="0" xfId="0" applyFont="true" applyBorder="false" applyAlignment="true" applyProtection="false">
      <alignment horizontal="right" vertical="center" textRotation="0" wrapText="false" indent="0" shrinkToFit="false"/>
      <protection locked="true" hidden="false"/>
    </xf>
    <xf numFmtId="168" fontId="21" fillId="12" borderId="0" xfId="0" applyFont="true" applyBorder="false" applyAlignment="true" applyProtection="false">
      <alignment horizontal="right" vertical="center" textRotation="0" wrapText="false" indent="0" shrinkToFit="false"/>
      <protection locked="true" hidden="false"/>
    </xf>
    <xf numFmtId="164" fontId="16" fillId="10" borderId="0" xfId="0" applyFont="true" applyBorder="false" applyAlignment="false" applyProtection="false">
      <alignment horizontal="general" vertical="bottom" textRotation="0" wrapText="false" indent="0" shrinkToFit="false"/>
      <protection locked="true" hidden="false"/>
    </xf>
    <xf numFmtId="165" fontId="16" fillId="1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9" fontId="9" fillId="0" borderId="0" xfId="0" applyFont="true" applyBorder="fals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9" fontId="22"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9" fontId="9" fillId="0" borderId="2" xfId="0" applyFont="true" applyBorder="tru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9" fontId="9" fillId="0" borderId="3" xfId="0" applyFont="true" applyBorder="true" applyAlignment="true" applyProtection="false">
      <alignment horizontal="right" vertical="center" textRotation="0" wrapText="false" indent="0" shrinkToFit="false"/>
      <protection locked="true" hidden="false"/>
    </xf>
    <xf numFmtId="167" fontId="10" fillId="0" borderId="0" xfId="0" applyFont="true" applyBorder="false" applyAlignment="true" applyProtection="false">
      <alignment horizontal="right" vertical="center" textRotation="0" wrapText="false" indent="0" shrinkToFit="false"/>
      <protection locked="true" hidden="false"/>
    </xf>
    <xf numFmtId="170" fontId="22" fillId="0" borderId="0" xfId="0" applyFont="true" applyBorder="false" applyAlignment="true" applyProtection="false">
      <alignment horizontal="right" vertical="center" textRotation="0" wrapText="false" indent="0" shrinkToFit="false"/>
      <protection locked="true" hidden="false"/>
    </xf>
    <xf numFmtId="167" fontId="22" fillId="0" borderId="0" xfId="0" applyFont="true" applyBorder="fals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70" fontId="10" fillId="0" borderId="0" xfId="0" applyFont="true" applyBorder="false" applyAlignment="true" applyProtection="false">
      <alignment horizontal="left" vertical="center" textRotation="0" wrapText="false" indent="0" shrinkToFit="false"/>
      <protection locked="true" hidden="false"/>
    </xf>
    <xf numFmtId="167" fontId="10" fillId="0" borderId="0" xfId="0" applyFont="true" applyBorder="false" applyAlignment="true" applyProtection="false">
      <alignment horizontal="left" vertical="center" textRotation="0" wrapText="false" indent="0" shrinkToFit="false"/>
      <protection locked="true" hidden="false"/>
    </xf>
    <xf numFmtId="168" fontId="10" fillId="0" borderId="0" xfId="0" applyFont="true" applyBorder="fals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7030A0"/>
      <rgbColor rgb="FFF2F2F2"/>
      <rgbColor rgb="FFEBF1FA"/>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25"/>
    <col collapsed="false" customWidth="true" hidden="false" outlineLevel="0" max="5"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9"/>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8" t="s">
        <v>7</v>
      </c>
      <c r="D8" s="10"/>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8</v>
      </c>
      <c r="C9" s="8" t="s">
        <v>9</v>
      </c>
      <c r="D9" s="11"/>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10</v>
      </c>
      <c r="C10" s="8" t="s">
        <v>11</v>
      </c>
      <c r="D10" s="12"/>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12</v>
      </c>
      <c r="C11" s="8" t="s">
        <v>13</v>
      </c>
      <c r="D11" s="13"/>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14</v>
      </c>
      <c r="C12" s="8" t="s">
        <v>15</v>
      </c>
      <c r="D12" s="14"/>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16</v>
      </c>
      <c r="C13" s="8" t="s">
        <v>17</v>
      </c>
      <c r="D13" s="1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18</v>
      </c>
      <c r="C14" s="8" t="s">
        <v>19</v>
      </c>
      <c r="D14" s="14"/>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6" t="s">
        <v>20</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7" t="s">
        <v>21</v>
      </c>
      <c r="C18" s="8" t="s">
        <v>4</v>
      </c>
      <c r="D18" s="9"/>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7" t="s">
        <v>22</v>
      </c>
      <c r="C19" s="8" t="s">
        <v>23</v>
      </c>
      <c r="D19" s="10"/>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7" t="s">
        <v>24</v>
      </c>
      <c r="C20" s="8" t="s">
        <v>25</v>
      </c>
      <c r="D20" s="11"/>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7" t="s">
        <v>26</v>
      </c>
      <c r="C21" s="8" t="s">
        <v>27</v>
      </c>
      <c r="D21" s="12"/>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28</v>
      </c>
      <c r="C22" s="8" t="s">
        <v>29</v>
      </c>
      <c r="D22" s="13"/>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30</v>
      </c>
      <c r="C23" s="8" t="s">
        <v>31</v>
      </c>
      <c r="D23" s="14"/>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7" t="s">
        <v>32</v>
      </c>
      <c r="C24" s="8" t="s">
        <v>33</v>
      </c>
      <c r="D24" s="1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9.5" hidden="false" customHeight="true" outlineLevel="0" collapsed="false">
      <c r="A27" s="5"/>
      <c r="B27" s="16" t="s">
        <v>34</v>
      </c>
      <c r="C27" s="17"/>
      <c r="D27" s="17"/>
      <c r="E27" s="17"/>
      <c r="F27" s="17"/>
      <c r="G27" s="17"/>
      <c r="H27" s="5"/>
      <c r="I27" s="5"/>
      <c r="J27" s="5"/>
      <c r="K27" s="5"/>
      <c r="L27" s="5"/>
      <c r="M27" s="5"/>
      <c r="N27" s="5"/>
      <c r="O27" s="5"/>
      <c r="P27" s="5"/>
      <c r="Q27" s="5"/>
      <c r="R27" s="5"/>
      <c r="S27" s="5"/>
      <c r="T27" s="5"/>
      <c r="U27" s="5"/>
      <c r="V27" s="5"/>
      <c r="W27" s="5"/>
      <c r="X27" s="5"/>
      <c r="Y27" s="5"/>
      <c r="Z27" s="5"/>
      <c r="AA27" s="5"/>
      <c r="AB27" s="5"/>
      <c r="AC27" s="5"/>
      <c r="AD27" s="5"/>
    </row>
    <row r="28" customFormat="false" ht="195.75" hidden="false" customHeight="true" outlineLevel="0" collapsed="false">
      <c r="A28" s="5"/>
      <c r="B28" s="18" t="s">
        <v>35</v>
      </c>
      <c r="C28" s="18"/>
      <c r="D28" s="18"/>
      <c r="E28" s="18"/>
      <c r="F28" s="18"/>
      <c r="G28" s="18"/>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9.5" hidden="false" customHeight="true" outlineLevel="0" collapsed="false">
      <c r="A30" s="5"/>
      <c r="B30" s="16" t="s">
        <v>36</v>
      </c>
      <c r="C30" s="17"/>
      <c r="D30" s="17"/>
      <c r="E30" s="17"/>
      <c r="F30" s="17"/>
      <c r="G30" s="17"/>
      <c r="H30" s="5"/>
      <c r="I30" s="5"/>
      <c r="J30" s="5"/>
      <c r="K30" s="5"/>
      <c r="L30" s="5"/>
      <c r="M30" s="5"/>
      <c r="N30" s="5"/>
      <c r="O30" s="5"/>
      <c r="P30" s="5"/>
      <c r="Q30" s="5"/>
      <c r="R30" s="5"/>
      <c r="S30" s="5"/>
      <c r="T30" s="5"/>
      <c r="U30" s="5"/>
      <c r="V30" s="5"/>
      <c r="W30" s="5"/>
      <c r="X30" s="5"/>
      <c r="Y30" s="5"/>
      <c r="Z30" s="5"/>
      <c r="AA30" s="5"/>
      <c r="AB30" s="5"/>
      <c r="AC30" s="5"/>
      <c r="AD30" s="5"/>
    </row>
    <row r="31" customFormat="false" ht="57" hidden="false" customHeight="true" outlineLevel="0" collapsed="false">
      <c r="A31" s="5"/>
      <c r="B31" s="18" t="s">
        <v>37</v>
      </c>
      <c r="C31" s="18"/>
      <c r="D31" s="18"/>
      <c r="E31" s="18"/>
      <c r="F31" s="18"/>
      <c r="G31" s="18"/>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19" t="s">
        <v>38</v>
      </c>
      <c r="C32" s="19"/>
      <c r="D32" s="19"/>
      <c r="E32" s="19"/>
      <c r="F32" s="19"/>
      <c r="G32" s="19"/>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20" t="s">
        <v>39</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sheetData>
  <mergeCells count="3">
    <mergeCell ref="B28:G28"/>
    <mergeCell ref="B31:G31"/>
    <mergeCell ref="B32:G32"/>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1" t="s">
        <v>40</v>
      </c>
    </row>
    <row r="3" customFormat="false" ht="3.75" hidden="false" customHeight="true" outlineLevel="0" collapsed="false">
      <c r="A3" s="5"/>
      <c r="B3" s="22"/>
    </row>
    <row r="4" customFormat="false" ht="15" hidden="false" customHeight="false" outlineLevel="0" collapsed="false">
      <c r="A4" s="5"/>
      <c r="B4" s="5"/>
    </row>
    <row r="5" customFormat="false" ht="19.5" hidden="false" customHeight="true" outlineLevel="0" collapsed="false">
      <c r="A5" s="5"/>
      <c r="B5" s="23" t="s">
        <v>41</v>
      </c>
    </row>
    <row r="6" customFormat="false" ht="48" hidden="false" customHeight="true" outlineLevel="0" collapsed="false">
      <c r="A6" s="5"/>
      <c r="B6" s="24" t="s">
        <v>42</v>
      </c>
    </row>
    <row r="7" customFormat="false" ht="15" hidden="false" customHeight="false" outlineLevel="0" collapsed="false">
      <c r="A7" s="5"/>
      <c r="B7" s="5"/>
    </row>
    <row r="8" customFormat="false" ht="19.5" hidden="false" customHeight="true" outlineLevel="0" collapsed="false">
      <c r="A8" s="5"/>
      <c r="B8" s="23" t="s">
        <v>43</v>
      </c>
    </row>
    <row r="9" customFormat="false" ht="61.5" hidden="false" customHeight="true" outlineLevel="0" collapsed="false">
      <c r="A9" s="5"/>
      <c r="B9" s="24" t="s">
        <v>44</v>
      </c>
    </row>
    <row r="10" customFormat="false" ht="15" hidden="false" customHeight="false" outlineLevel="0" collapsed="false">
      <c r="A10" s="5"/>
      <c r="B10" s="5"/>
    </row>
    <row r="11" customFormat="false" ht="19.5" hidden="false" customHeight="true" outlineLevel="0" collapsed="false">
      <c r="A11" s="5"/>
      <c r="B11" s="23" t="s">
        <v>45</v>
      </c>
    </row>
    <row r="12" customFormat="false" ht="75.75" hidden="false" customHeight="true" outlineLevel="0" collapsed="false">
      <c r="A12" s="5"/>
      <c r="B12" s="24" t="s">
        <v>46</v>
      </c>
    </row>
    <row r="13" customFormat="false" ht="15" hidden="false" customHeight="false" outlineLevel="0" collapsed="false">
      <c r="A13" s="5"/>
      <c r="B13" s="5"/>
    </row>
    <row r="14" customFormat="false" ht="19.5" hidden="false" customHeight="true" outlineLevel="0" collapsed="false">
      <c r="A14" s="5"/>
      <c r="B14" s="23" t="s">
        <v>47</v>
      </c>
    </row>
    <row r="15" customFormat="false" ht="61.5" hidden="false" customHeight="true" outlineLevel="0" collapsed="false">
      <c r="A15" s="5"/>
      <c r="B15" s="24" t="s">
        <v>48</v>
      </c>
    </row>
    <row r="16" customFormat="false" ht="15" hidden="false" customHeight="false" outlineLevel="0" collapsed="false">
      <c r="A16" s="5"/>
      <c r="B16" s="5"/>
    </row>
    <row r="17" customFormat="false" ht="19.5" hidden="false" customHeight="true" outlineLevel="0" collapsed="false">
      <c r="A17" s="5"/>
      <c r="B17" s="23" t="s">
        <v>49</v>
      </c>
    </row>
    <row r="18" customFormat="false" ht="33.75" hidden="false" customHeight="true" outlineLevel="0" collapsed="false">
      <c r="A18" s="5"/>
      <c r="B18" s="24" t="s">
        <v>50</v>
      </c>
    </row>
    <row r="19" customFormat="false" ht="15" hidden="false" customHeight="false" outlineLevel="0" collapsed="false">
      <c r="A19" s="5"/>
      <c r="B19" s="5"/>
    </row>
    <row r="20" customFormat="false" ht="19.5" hidden="false" customHeight="true" outlineLevel="0" collapsed="false">
      <c r="A20" s="5"/>
      <c r="B20" s="23" t="s">
        <v>51</v>
      </c>
    </row>
    <row r="21" customFormat="false" ht="33.75" hidden="false" customHeight="true" outlineLevel="0" collapsed="false">
      <c r="A21" s="5"/>
      <c r="B21" s="24" t="s">
        <v>52</v>
      </c>
    </row>
    <row r="22" customFormat="false" ht="15" hidden="false" customHeight="false" outlineLevel="0" collapsed="false">
      <c r="A22" s="5"/>
      <c r="B22" s="5"/>
    </row>
    <row r="23" customFormat="false" ht="21.75" hidden="false" customHeight="true" outlineLevel="0" collapsed="false">
      <c r="A23" s="5"/>
      <c r="B23" s="25" t="s">
        <v>53</v>
      </c>
    </row>
    <row r="24" customFormat="false" ht="15" hidden="false" customHeight="false" outlineLevel="0" collapsed="false">
      <c r="A24" s="5"/>
      <c r="B24" s="5"/>
    </row>
    <row r="25" customFormat="false" ht="18" hidden="false" customHeight="true" outlineLevel="0" collapsed="false">
      <c r="A25" s="5"/>
      <c r="B25" s="26" t="s">
        <v>54</v>
      </c>
    </row>
    <row r="26" customFormat="false" ht="201.75" hidden="false" customHeight="true" outlineLevel="0" collapsed="false">
      <c r="A26" s="5"/>
      <c r="B26" s="27" t="s">
        <v>55</v>
      </c>
    </row>
    <row r="27" customFormat="false" ht="15" hidden="false" customHeight="false" outlineLevel="0" collapsed="false">
      <c r="A27" s="5"/>
      <c r="B27" s="5"/>
    </row>
    <row r="28" customFormat="false" ht="18" hidden="false" customHeight="true" outlineLevel="0" collapsed="false">
      <c r="A28" s="5"/>
      <c r="B28" s="28" t="s">
        <v>56</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E4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5"/>
      <c r="B1" s="5"/>
      <c r="C1" s="5"/>
      <c r="D1" s="5"/>
      <c r="E1" s="5"/>
    </row>
    <row r="2" customFormat="false" ht="22.05" hidden="false" customHeight="false" outlineLevel="0" collapsed="false">
      <c r="A2" s="5"/>
      <c r="B2" s="29" t="s">
        <v>6</v>
      </c>
      <c r="C2" s="5"/>
      <c r="D2" s="5"/>
      <c r="E2" s="5"/>
    </row>
    <row r="3" customFormat="false" ht="15" hidden="false" customHeight="false" outlineLevel="0" collapsed="false">
      <c r="A3" s="5"/>
      <c r="B3" s="30" t="s">
        <v>57</v>
      </c>
      <c r="C3" s="5"/>
      <c r="D3" s="5"/>
      <c r="E3" s="5"/>
    </row>
    <row r="4" customFormat="false" ht="15" hidden="false" customHeight="false" outlineLevel="0" collapsed="false">
      <c r="A4" s="5"/>
      <c r="B4" s="5"/>
      <c r="C4" s="5"/>
      <c r="D4" s="5"/>
      <c r="E4" s="5"/>
    </row>
    <row r="5" customFormat="false" ht="15" hidden="false" customHeight="false" outlineLevel="0" collapsed="false">
      <c r="A5" s="5"/>
      <c r="B5" s="31" t="s">
        <v>58</v>
      </c>
      <c r="C5" s="32" t="s">
        <v>59</v>
      </c>
      <c r="D5" s="32" t="s">
        <v>60</v>
      </c>
      <c r="E5" s="32" t="s">
        <v>61</v>
      </c>
    </row>
    <row r="6" customFormat="false" ht="15" hidden="false" customHeight="false" outlineLevel="0" collapsed="false">
      <c r="A6" s="5"/>
      <c r="B6" s="33" t="s">
        <v>62</v>
      </c>
      <c r="C6" s="17"/>
      <c r="D6" s="17"/>
      <c r="E6" s="17"/>
    </row>
    <row r="7" customFormat="false" ht="15" hidden="false" customHeight="false" outlineLevel="0" collapsed="false">
      <c r="A7" s="5"/>
      <c r="B7" s="7" t="s">
        <v>63</v>
      </c>
      <c r="C7" s="34" t="n">
        <v>2025</v>
      </c>
      <c r="D7" s="35" t="s">
        <v>64</v>
      </c>
      <c r="E7" s="8" t="s">
        <v>65</v>
      </c>
    </row>
    <row r="8" customFormat="false" ht="15" hidden="false" customHeight="false" outlineLevel="0" collapsed="false">
      <c r="A8" s="5"/>
      <c r="B8" s="7" t="s">
        <v>66</v>
      </c>
      <c r="C8" s="36" t="n">
        <v>25000000</v>
      </c>
      <c r="D8" s="35" t="s">
        <v>67</v>
      </c>
      <c r="E8" s="8" t="s">
        <v>68</v>
      </c>
    </row>
    <row r="9" customFormat="false" ht="15" hidden="false" customHeight="false" outlineLevel="0" collapsed="false">
      <c r="A9" s="5"/>
      <c r="B9" s="7" t="s">
        <v>69</v>
      </c>
      <c r="C9" s="37" t="n">
        <v>0.2</v>
      </c>
      <c r="D9" s="35" t="s">
        <v>70</v>
      </c>
      <c r="E9" s="8" t="s">
        <v>71</v>
      </c>
    </row>
    <row r="10" customFormat="false" ht="15" hidden="false" customHeight="false" outlineLevel="0" collapsed="false">
      <c r="A10" s="5"/>
      <c r="B10" s="7" t="s">
        <v>72</v>
      </c>
      <c r="C10" s="38" t="n">
        <f aca="false">Purchase_Price*(1-Land_Pct)</f>
        <v>20000000</v>
      </c>
      <c r="D10" s="35" t="s">
        <v>67</v>
      </c>
      <c r="E10" s="8" t="s">
        <v>73</v>
      </c>
    </row>
    <row r="11" customFormat="false" ht="15" hidden="false" customHeight="false" outlineLevel="0" collapsed="false">
      <c r="A11" s="5"/>
      <c r="B11" s="7" t="s">
        <v>74</v>
      </c>
      <c r="C11" s="34" t="n">
        <v>30</v>
      </c>
      <c r="D11" s="35" t="s">
        <v>75</v>
      </c>
      <c r="E11" s="8" t="s">
        <v>76</v>
      </c>
    </row>
    <row r="12" customFormat="false" ht="15" hidden="false" customHeight="false" outlineLevel="0" collapsed="false">
      <c r="A12" s="5"/>
      <c r="B12" s="7" t="s">
        <v>77</v>
      </c>
      <c r="C12" s="37" t="n">
        <v>0.02</v>
      </c>
      <c r="D12" s="35" t="s">
        <v>70</v>
      </c>
      <c r="E12" s="8" t="s">
        <v>78</v>
      </c>
    </row>
    <row r="13" customFormat="false" ht="15" hidden="false" customHeight="false" outlineLevel="0" collapsed="false">
      <c r="A13" s="5"/>
      <c r="B13" s="7" t="s">
        <v>79</v>
      </c>
      <c r="C13" s="37" t="n">
        <v>0.01</v>
      </c>
      <c r="D13" s="35" t="s">
        <v>70</v>
      </c>
      <c r="E13" s="8" t="s">
        <v>80</v>
      </c>
    </row>
    <row r="14" customFormat="false" ht="15" hidden="false" customHeight="false" outlineLevel="0" collapsed="false">
      <c r="A14" s="5"/>
      <c r="B14" s="33" t="s">
        <v>81</v>
      </c>
      <c r="C14" s="17"/>
      <c r="D14" s="17"/>
      <c r="E14" s="17"/>
    </row>
    <row r="15" customFormat="false" ht="15" hidden="false" customHeight="false" outlineLevel="0" collapsed="false">
      <c r="A15" s="5"/>
      <c r="B15" s="7" t="s">
        <v>82</v>
      </c>
      <c r="C15" s="37" t="n">
        <v>0.065</v>
      </c>
      <c r="D15" s="35" t="s">
        <v>70</v>
      </c>
      <c r="E15" s="8" t="s">
        <v>83</v>
      </c>
    </row>
    <row r="16" customFormat="false" ht="15" hidden="false" customHeight="false" outlineLevel="0" collapsed="false">
      <c r="A16" s="5"/>
      <c r="B16" s="7" t="s">
        <v>84</v>
      </c>
      <c r="C16" s="34" t="n">
        <v>15</v>
      </c>
      <c r="D16" s="35" t="s">
        <v>75</v>
      </c>
      <c r="E16" s="8" t="s">
        <v>85</v>
      </c>
    </row>
    <row r="17" customFormat="false" ht="15" hidden="false" customHeight="false" outlineLevel="0" collapsed="false">
      <c r="A17" s="5"/>
      <c r="B17" s="7" t="s">
        <v>86</v>
      </c>
      <c r="C17" s="37" t="n">
        <v>0.025</v>
      </c>
      <c r="D17" s="35" t="s">
        <v>87</v>
      </c>
      <c r="E17" s="8" t="s">
        <v>88</v>
      </c>
    </row>
    <row r="18" customFormat="false" ht="15" hidden="false" customHeight="false" outlineLevel="0" collapsed="false">
      <c r="A18" s="5"/>
      <c r="B18" s="7" t="s">
        <v>89</v>
      </c>
      <c r="C18" s="36" t="n">
        <v>175000</v>
      </c>
      <c r="D18" s="35" t="s">
        <v>90</v>
      </c>
      <c r="E18" s="8" t="s">
        <v>91</v>
      </c>
    </row>
    <row r="19" customFormat="false" ht="15" hidden="false" customHeight="false" outlineLevel="0" collapsed="false">
      <c r="A19" s="5"/>
      <c r="B19" s="7" t="s">
        <v>92</v>
      </c>
      <c r="C19" s="36" t="n">
        <v>45000</v>
      </c>
      <c r="D19" s="35" t="s">
        <v>90</v>
      </c>
      <c r="E19" s="8" t="s">
        <v>91</v>
      </c>
    </row>
    <row r="20" customFormat="false" ht="15" hidden="false" customHeight="false" outlineLevel="0" collapsed="false">
      <c r="A20" s="5"/>
      <c r="B20" s="7" t="s">
        <v>93</v>
      </c>
      <c r="C20" s="36" t="n">
        <v>60000</v>
      </c>
      <c r="D20" s="35" t="s">
        <v>90</v>
      </c>
      <c r="E20" s="8" t="s">
        <v>91</v>
      </c>
    </row>
    <row r="21" customFormat="false" ht="15" hidden="false" customHeight="false" outlineLevel="0" collapsed="false">
      <c r="A21" s="5"/>
      <c r="B21" s="33" t="s">
        <v>94</v>
      </c>
      <c r="C21" s="17"/>
      <c r="D21" s="17"/>
      <c r="E21" s="17"/>
    </row>
    <row r="22" customFormat="false" ht="15" hidden="false" customHeight="false" outlineLevel="0" collapsed="false">
      <c r="A22" s="5"/>
      <c r="B22" s="7" t="s">
        <v>95</v>
      </c>
      <c r="C22" s="37" t="n">
        <v>0.005</v>
      </c>
      <c r="D22" s="35" t="s">
        <v>70</v>
      </c>
      <c r="E22" s="8" t="s">
        <v>96</v>
      </c>
    </row>
    <row r="23" customFormat="false" ht="15" hidden="false" customHeight="false" outlineLevel="0" collapsed="false">
      <c r="A23" s="5"/>
      <c r="B23" s="7" t="s">
        <v>97</v>
      </c>
      <c r="C23" s="37" t="n">
        <v>0.0075</v>
      </c>
      <c r="D23" s="35" t="s">
        <v>70</v>
      </c>
      <c r="E23" s="8" t="s">
        <v>96</v>
      </c>
    </row>
    <row r="24" customFormat="false" ht="15" hidden="false" customHeight="false" outlineLevel="0" collapsed="false">
      <c r="A24" s="5"/>
      <c r="B24" s="33" t="s">
        <v>98</v>
      </c>
      <c r="C24" s="17"/>
      <c r="D24" s="17"/>
      <c r="E24" s="17"/>
    </row>
    <row r="25" customFormat="false" ht="15" hidden="false" customHeight="false" outlineLevel="0" collapsed="false">
      <c r="A25" s="5"/>
      <c r="B25" s="7" t="s">
        <v>99</v>
      </c>
      <c r="C25" s="37" t="n">
        <v>0.6</v>
      </c>
      <c r="D25" s="35" t="s">
        <v>70</v>
      </c>
      <c r="E25" s="8" t="s">
        <v>100</v>
      </c>
    </row>
    <row r="26" customFormat="false" ht="15" hidden="false" customHeight="false" outlineLevel="0" collapsed="false">
      <c r="A26" s="5"/>
      <c r="B26" s="7" t="s">
        <v>101</v>
      </c>
      <c r="C26" s="37" t="n">
        <v>0.055</v>
      </c>
      <c r="D26" s="35" t="s">
        <v>70</v>
      </c>
      <c r="E26" s="8" t="s">
        <v>102</v>
      </c>
    </row>
    <row r="27" customFormat="false" ht="15" hidden="false" customHeight="false" outlineLevel="0" collapsed="false">
      <c r="A27" s="5"/>
      <c r="B27" s="7" t="s">
        <v>103</v>
      </c>
      <c r="C27" s="34" t="n">
        <v>25</v>
      </c>
      <c r="D27" s="35" t="s">
        <v>75</v>
      </c>
      <c r="E27" s="8" t="s">
        <v>104</v>
      </c>
    </row>
    <row r="28" customFormat="false" ht="15" hidden="false" customHeight="false" outlineLevel="0" collapsed="false">
      <c r="A28" s="5"/>
      <c r="B28" s="7" t="s">
        <v>105</v>
      </c>
      <c r="C28" s="34" t="n">
        <v>2</v>
      </c>
      <c r="D28" s="35" t="s">
        <v>75</v>
      </c>
      <c r="E28" s="8" t="s">
        <v>106</v>
      </c>
    </row>
    <row r="29" customFormat="false" ht="15" hidden="false" customHeight="false" outlineLevel="0" collapsed="false">
      <c r="A29" s="5"/>
      <c r="B29" s="7" t="s">
        <v>107</v>
      </c>
      <c r="C29" s="39" t="n">
        <f aca="false">Loan_Term-IO_Period</f>
        <v>23</v>
      </c>
      <c r="D29" s="35" t="s">
        <v>75</v>
      </c>
      <c r="E29" s="8" t="s">
        <v>108</v>
      </c>
    </row>
    <row r="30" customFormat="false" ht="15" hidden="false" customHeight="false" outlineLevel="0" collapsed="false">
      <c r="A30" s="5"/>
      <c r="B30" s="33" t="s">
        <v>109</v>
      </c>
      <c r="C30" s="17"/>
      <c r="D30" s="17"/>
      <c r="E30" s="17"/>
    </row>
    <row r="31" customFormat="false" ht="15" hidden="false" customHeight="false" outlineLevel="0" collapsed="false">
      <c r="A31" s="5"/>
      <c r="B31" s="7" t="s">
        <v>110</v>
      </c>
      <c r="C31" s="37" t="n">
        <v>0.07</v>
      </c>
      <c r="D31" s="35" t="s">
        <v>70</v>
      </c>
      <c r="E31" s="8" t="s">
        <v>111</v>
      </c>
    </row>
    <row r="32" customFormat="false" ht="15" hidden="false" customHeight="false" outlineLevel="0" collapsed="false">
      <c r="A32" s="5"/>
      <c r="B32" s="7" t="s">
        <v>112</v>
      </c>
      <c r="C32" s="37" t="n">
        <v>0.02</v>
      </c>
      <c r="D32" s="35" t="s">
        <v>70</v>
      </c>
      <c r="E32" s="8" t="s">
        <v>113</v>
      </c>
    </row>
    <row r="33" customFormat="false" ht="15" hidden="false" customHeight="false" outlineLevel="0" collapsed="false">
      <c r="A33" s="5"/>
      <c r="B33" s="7" t="s">
        <v>114</v>
      </c>
      <c r="C33" s="37" t="n">
        <v>0.08</v>
      </c>
      <c r="D33" s="35" t="s">
        <v>70</v>
      </c>
      <c r="E33" s="8" t="s">
        <v>115</v>
      </c>
    </row>
    <row r="34" customFormat="false" ht="15" hidden="false" customHeight="false" outlineLevel="0" collapsed="false">
      <c r="A34" s="5"/>
      <c r="B34" s="33" t="s">
        <v>116</v>
      </c>
      <c r="C34" s="17"/>
      <c r="D34" s="17"/>
      <c r="E34" s="17"/>
    </row>
    <row r="35" customFormat="false" ht="15" hidden="false" customHeight="false" outlineLevel="0" collapsed="false">
      <c r="A35" s="5"/>
      <c r="B35" s="7" t="s">
        <v>117</v>
      </c>
      <c r="C35" s="37" t="n">
        <v>0.1</v>
      </c>
      <c r="D35" s="35" t="s">
        <v>70</v>
      </c>
      <c r="E35" s="8" t="s">
        <v>118</v>
      </c>
    </row>
    <row r="36" customFormat="false" ht="15" hidden="false" customHeight="false" outlineLevel="0" collapsed="false">
      <c r="A36" s="5"/>
      <c r="B36" s="7" t="s">
        <v>119</v>
      </c>
      <c r="C36" s="40" t="n">
        <v>1.8</v>
      </c>
      <c r="D36" s="35" t="s">
        <v>120</v>
      </c>
      <c r="E36" s="8" t="s">
        <v>121</v>
      </c>
    </row>
    <row r="37" customFormat="false" ht="15" hidden="false" customHeight="false" outlineLevel="0" collapsed="false">
      <c r="A37" s="5"/>
      <c r="B37" s="7" t="s">
        <v>122</v>
      </c>
      <c r="C37" s="37" t="n">
        <v>0.06</v>
      </c>
      <c r="D37" s="35" t="s">
        <v>70</v>
      </c>
      <c r="E37" s="8" t="s">
        <v>123</v>
      </c>
    </row>
    <row r="38" customFormat="false" ht="15" hidden="false" customHeight="false" outlineLevel="0" collapsed="false">
      <c r="A38" s="5"/>
      <c r="B38" s="33" t="s">
        <v>124</v>
      </c>
      <c r="C38" s="17"/>
      <c r="D38" s="17"/>
      <c r="E38" s="17"/>
    </row>
    <row r="39" customFormat="false" ht="15" hidden="false" customHeight="false" outlineLevel="0" collapsed="false">
      <c r="A39" s="5"/>
      <c r="B39" s="7" t="s">
        <v>125</v>
      </c>
      <c r="C39" s="36" t="n">
        <v>10000000</v>
      </c>
      <c r="D39" s="35" t="s">
        <v>67</v>
      </c>
      <c r="E39" s="8" t="s">
        <v>126</v>
      </c>
    </row>
    <row r="40" customFormat="false" ht="15" hidden="false" customHeight="false" outlineLevel="0" collapsed="false">
      <c r="A40" s="5"/>
      <c r="B40" s="7" t="s">
        <v>127</v>
      </c>
      <c r="C40" s="36" t="n">
        <v>750000</v>
      </c>
      <c r="D40" s="35" t="s">
        <v>90</v>
      </c>
      <c r="E40" s="8" t="s">
        <v>128</v>
      </c>
    </row>
    <row r="41" customFormat="false" ht="15" hidden="false" customHeight="false" outlineLevel="0" collapsed="false">
      <c r="A41" s="5"/>
      <c r="B41" s="7" t="s">
        <v>129</v>
      </c>
      <c r="C41" s="36" t="n">
        <v>350000</v>
      </c>
      <c r="D41" s="35" t="s">
        <v>90</v>
      </c>
      <c r="E41" s="8" t="s">
        <v>130</v>
      </c>
    </row>
    <row r="42" customFormat="false" ht="15" hidden="false" customHeight="false" outlineLevel="0" collapsed="false">
      <c r="A42" s="5"/>
      <c r="B42" s="7" t="s">
        <v>131</v>
      </c>
      <c r="C42" s="37" t="n">
        <v>0.25</v>
      </c>
      <c r="D42" s="35" t="s">
        <v>70</v>
      </c>
      <c r="E42" s="8" t="s">
        <v>132</v>
      </c>
    </row>
    <row r="43" customFormat="false" ht="15" hidden="false" customHeight="false" outlineLevel="0" collapsed="false">
      <c r="A43" s="5"/>
      <c r="B43" s="7" t="s">
        <v>133</v>
      </c>
      <c r="C43" s="36" t="n">
        <v>18000000</v>
      </c>
      <c r="D43" s="35" t="s">
        <v>67</v>
      </c>
      <c r="E43" s="8" t="s">
        <v>134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L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135</v>
      </c>
      <c r="C2" s="5"/>
      <c r="D2" s="5"/>
      <c r="E2" s="5"/>
      <c r="F2" s="5"/>
      <c r="G2" s="5"/>
      <c r="H2" s="5"/>
      <c r="I2" s="5"/>
      <c r="J2" s="5"/>
      <c r="K2" s="5"/>
      <c r="L2" s="5"/>
    </row>
    <row r="3" customFormat="false" ht="15" hidden="false" customHeight="false" outlineLevel="0" collapsed="false">
      <c r="A3" s="5"/>
      <c r="B3" s="30" t="s">
        <v>9</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41" t="s">
        <v>64</v>
      </c>
      <c r="C5" s="42" t="n">
        <f aca="false">Base_Year+0</f>
        <v>2025</v>
      </c>
      <c r="D5" s="42" t="n">
        <f aca="false">Base_Year+1</f>
        <v>2026</v>
      </c>
      <c r="E5" s="42" t="n">
        <f aca="false">Base_Year+2</f>
        <v>2027</v>
      </c>
      <c r="F5" s="42" t="n">
        <f aca="false">Base_Year+3</f>
        <v>2028</v>
      </c>
      <c r="G5" s="42" t="n">
        <f aca="false">Base_Year+4</f>
        <v>2029</v>
      </c>
      <c r="H5" s="42" t="n">
        <f aca="false">Base_Year+5</f>
        <v>2030</v>
      </c>
      <c r="I5" s="42" t="n">
        <f aca="false">Base_Year+6</f>
        <v>2031</v>
      </c>
      <c r="J5" s="42" t="n">
        <f aca="false">Base_Year+7</f>
        <v>2032</v>
      </c>
      <c r="K5" s="42" t="n">
        <f aca="false">Base_Year+8</f>
        <v>2033</v>
      </c>
      <c r="L5" s="42" t="n">
        <f aca="false">Base_Year+9</f>
        <v>2034</v>
      </c>
    </row>
    <row r="6" customFormat="false" ht="15" hidden="false" customHeight="false" outlineLevel="0" collapsed="false">
      <c r="A6" s="5"/>
      <c r="B6" s="8" t="s">
        <v>136</v>
      </c>
      <c r="C6" s="35" t="n">
        <f aca="false">COLUMN(C1)-2</f>
        <v>1</v>
      </c>
      <c r="D6" s="35" t="n">
        <f aca="false">COLUMN(D1)-2</f>
        <v>2</v>
      </c>
      <c r="E6" s="35" t="n">
        <f aca="false">COLUMN(E1)-2</f>
        <v>3</v>
      </c>
      <c r="F6" s="35" t="n">
        <f aca="false">COLUMN(F1)-2</f>
        <v>4</v>
      </c>
      <c r="G6" s="35" t="n">
        <f aca="false">COLUMN(G1)-2</f>
        <v>5</v>
      </c>
      <c r="H6" s="35" t="n">
        <f aca="false">COLUMN(H1)-2</f>
        <v>6</v>
      </c>
      <c r="I6" s="35" t="n">
        <f aca="false">COLUMN(I1)-2</f>
        <v>7</v>
      </c>
      <c r="J6" s="35" t="n">
        <f aca="false">COLUMN(J1)-2</f>
        <v>8</v>
      </c>
      <c r="K6" s="35" t="n">
        <f aca="false">COLUMN(K1)-2</f>
        <v>9</v>
      </c>
      <c r="L6" s="35" t="n">
        <f aca="false">COLUMN(L1)-2</f>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3" t="s">
        <v>137</v>
      </c>
      <c r="C8" s="17"/>
      <c r="D8" s="17"/>
      <c r="E8" s="17"/>
      <c r="F8" s="17"/>
      <c r="G8" s="17"/>
      <c r="H8" s="17"/>
      <c r="I8" s="17"/>
      <c r="J8" s="17"/>
      <c r="K8" s="17"/>
      <c r="L8" s="17"/>
    </row>
    <row r="9" customFormat="false" ht="15" hidden="false" customHeight="false" outlineLevel="0" collapsed="false">
      <c r="A9" s="5"/>
      <c r="B9" s="43" t="s">
        <v>137</v>
      </c>
      <c r="C9" s="44" t="n">
        <f aca="false">IF(C6&lt;=Lease_Term,Purchase_Price*Going_In_Cap*(1+Escalation_Rate)^(C6-1),0)</f>
        <v>1625000</v>
      </c>
      <c r="D9" s="44" t="n">
        <f aca="false">IF(D6&lt;=Lease_Term,Purchase_Price*Going_In_Cap*(1+Escalation_Rate)^(D6-1),0)</f>
        <v>1665625</v>
      </c>
      <c r="E9" s="44" t="n">
        <f aca="false">IF(E6&lt;=Lease_Term,Purchase_Price*Going_In_Cap*(1+Escalation_Rate)^(E6-1),0)</f>
        <v>1707265.625</v>
      </c>
      <c r="F9" s="44" t="n">
        <f aca="false">IF(F6&lt;=Lease_Term,Purchase_Price*Going_In_Cap*(1+Escalation_Rate)^(F6-1),0)</f>
        <v>1749947.265625</v>
      </c>
      <c r="G9" s="44" t="n">
        <f aca="false">IF(G6&lt;=Lease_Term,Purchase_Price*Going_In_Cap*(1+Escalation_Rate)^(G6-1),0)</f>
        <v>1793695.94726562</v>
      </c>
      <c r="H9" s="44" t="n">
        <f aca="false">IF(H6&lt;=Lease_Term,Purchase_Price*Going_In_Cap*(1+Escalation_Rate)^(H6-1),0)</f>
        <v>1838538.34594726</v>
      </c>
      <c r="I9" s="44" t="n">
        <f aca="false">IF(I6&lt;=Lease_Term,Purchase_Price*Going_In_Cap*(1+Escalation_Rate)^(I6-1),0)</f>
        <v>1884501.80459595</v>
      </c>
      <c r="J9" s="44" t="n">
        <f aca="false">IF(J6&lt;=Lease_Term,Purchase_Price*Going_In_Cap*(1+Escalation_Rate)^(J6-1),0)</f>
        <v>1931614.34971085</v>
      </c>
      <c r="K9" s="44" t="n">
        <f aca="false">IF(K6&lt;=Lease_Term,Purchase_Price*Going_In_Cap*(1+Escalation_Rate)^(K6-1),0)</f>
        <v>1979904.70845362</v>
      </c>
      <c r="L9" s="44" t="n">
        <f aca="false">IF(L6&lt;=Lease_Term,Purchase_Price*Going_In_Cap*(1+Escalation_Rate)^(L6-1),0)</f>
        <v>2029402.32616496</v>
      </c>
    </row>
    <row r="10" customFormat="false" ht="15" hidden="false" customHeight="false" outlineLevel="0" collapsed="false">
      <c r="A10" s="5"/>
      <c r="B10" s="33" t="s">
        <v>138</v>
      </c>
      <c r="C10" s="17"/>
      <c r="D10" s="17"/>
      <c r="E10" s="17"/>
      <c r="F10" s="17"/>
      <c r="G10" s="17"/>
      <c r="H10" s="17"/>
      <c r="I10" s="17"/>
      <c r="J10" s="17"/>
      <c r="K10" s="17"/>
      <c r="L10" s="17"/>
    </row>
    <row r="11" customFormat="false" ht="15" hidden="false" customHeight="false" outlineLevel="0" collapsed="false">
      <c r="A11" s="5"/>
      <c r="B11" s="45" t="s">
        <v>139</v>
      </c>
      <c r="C11" s="46" t="n">
        <f aca="false">IF(C6&lt;=Lease_Term,NNN_Prop_Tax*(1+Escalation_Rate)^(C6-1),0)</f>
        <v>175000</v>
      </c>
      <c r="D11" s="46" t="n">
        <f aca="false">IF(D6&lt;=Lease_Term,NNN_Prop_Tax*(1+Escalation_Rate)^(D6-1),0)</f>
        <v>179375</v>
      </c>
      <c r="E11" s="46" t="n">
        <f aca="false">IF(E6&lt;=Lease_Term,NNN_Prop_Tax*(1+Escalation_Rate)^(E6-1),0)</f>
        <v>183859.375</v>
      </c>
      <c r="F11" s="46" t="n">
        <f aca="false">IF(F6&lt;=Lease_Term,NNN_Prop_Tax*(1+Escalation_Rate)^(F6-1),0)</f>
        <v>188455.859375</v>
      </c>
      <c r="G11" s="46" t="n">
        <f aca="false">IF(G6&lt;=Lease_Term,NNN_Prop_Tax*(1+Escalation_Rate)^(G6-1),0)</f>
        <v>193167.255859375</v>
      </c>
      <c r="H11" s="46" t="n">
        <f aca="false">IF(H6&lt;=Lease_Term,NNN_Prop_Tax*(1+Escalation_Rate)^(H6-1),0)</f>
        <v>197996.437255859</v>
      </c>
      <c r="I11" s="46" t="n">
        <f aca="false">IF(I6&lt;=Lease_Term,NNN_Prop_Tax*(1+Escalation_Rate)^(I6-1),0)</f>
        <v>202946.348187256</v>
      </c>
      <c r="J11" s="46" t="n">
        <f aca="false">IF(J6&lt;=Lease_Term,NNN_Prop_Tax*(1+Escalation_Rate)^(J6-1),0)</f>
        <v>208020.006891937</v>
      </c>
      <c r="K11" s="46" t="n">
        <f aca="false">IF(K6&lt;=Lease_Term,NNN_Prop_Tax*(1+Escalation_Rate)^(K6-1),0)</f>
        <v>213220.507064236</v>
      </c>
      <c r="L11" s="46" t="n">
        <f aca="false">IF(L6&lt;=Lease_Term,NNN_Prop_Tax*(1+Escalation_Rate)^(L6-1),0)</f>
        <v>218551.019740841</v>
      </c>
    </row>
    <row r="12" customFormat="false" ht="15" hidden="false" customHeight="false" outlineLevel="0" collapsed="false">
      <c r="A12" s="5"/>
      <c r="B12" s="45" t="s">
        <v>140</v>
      </c>
      <c r="C12" s="46" t="n">
        <f aca="false">IF(C6&lt;=Lease_Term,NNN_Insurance*(1+Escalation_Rate)^(C6-1),0)</f>
        <v>45000</v>
      </c>
      <c r="D12" s="46" t="n">
        <f aca="false">IF(D6&lt;=Lease_Term,NNN_Insurance*(1+Escalation_Rate)^(D6-1),0)</f>
        <v>46125</v>
      </c>
      <c r="E12" s="46" t="n">
        <f aca="false">IF(E6&lt;=Lease_Term,NNN_Insurance*(1+Escalation_Rate)^(E6-1),0)</f>
        <v>47278.125</v>
      </c>
      <c r="F12" s="46" t="n">
        <f aca="false">IF(F6&lt;=Lease_Term,NNN_Insurance*(1+Escalation_Rate)^(F6-1),0)</f>
        <v>48460.078125</v>
      </c>
      <c r="G12" s="46" t="n">
        <f aca="false">IF(G6&lt;=Lease_Term,NNN_Insurance*(1+Escalation_Rate)^(G6-1),0)</f>
        <v>49671.580078125</v>
      </c>
      <c r="H12" s="46" t="n">
        <f aca="false">IF(H6&lt;=Lease_Term,NNN_Insurance*(1+Escalation_Rate)^(H6-1),0)</f>
        <v>50913.3695800781</v>
      </c>
      <c r="I12" s="46" t="n">
        <f aca="false">IF(I6&lt;=Lease_Term,NNN_Insurance*(1+Escalation_Rate)^(I6-1),0)</f>
        <v>52186.2038195801</v>
      </c>
      <c r="J12" s="46" t="n">
        <f aca="false">IF(J6&lt;=Lease_Term,NNN_Insurance*(1+Escalation_Rate)^(J6-1),0)</f>
        <v>53490.8589150696</v>
      </c>
      <c r="K12" s="46" t="n">
        <f aca="false">IF(K6&lt;=Lease_Term,NNN_Insurance*(1+Escalation_Rate)^(K6-1),0)</f>
        <v>54828.1303879463</v>
      </c>
      <c r="L12" s="46" t="n">
        <f aca="false">IF(L6&lt;=Lease_Term,NNN_Insurance*(1+Escalation_Rate)^(L6-1),0)</f>
        <v>56198.8336476449</v>
      </c>
    </row>
    <row r="13" customFormat="false" ht="15" hidden="false" customHeight="false" outlineLevel="0" collapsed="false">
      <c r="A13" s="5"/>
      <c r="B13" s="45" t="s">
        <v>141</v>
      </c>
      <c r="C13" s="46" t="n">
        <f aca="false">IF(C6&lt;=Lease_Term,NNN_Maintenance*(1+Escalation_Rate)^(C6-1),0)</f>
        <v>60000</v>
      </c>
      <c r="D13" s="46" t="n">
        <f aca="false">IF(D6&lt;=Lease_Term,NNN_Maintenance*(1+Escalation_Rate)^(D6-1),0)</f>
        <v>61500</v>
      </c>
      <c r="E13" s="46" t="n">
        <f aca="false">IF(E6&lt;=Lease_Term,NNN_Maintenance*(1+Escalation_Rate)^(E6-1),0)</f>
        <v>63037.5</v>
      </c>
      <c r="F13" s="46" t="n">
        <f aca="false">IF(F6&lt;=Lease_Term,NNN_Maintenance*(1+Escalation_Rate)^(F6-1),0)</f>
        <v>64613.4375</v>
      </c>
      <c r="G13" s="46" t="n">
        <f aca="false">IF(G6&lt;=Lease_Term,NNN_Maintenance*(1+Escalation_Rate)^(G6-1),0)</f>
        <v>66228.7734375</v>
      </c>
      <c r="H13" s="46" t="n">
        <f aca="false">IF(H6&lt;=Lease_Term,NNN_Maintenance*(1+Escalation_Rate)^(H6-1),0)</f>
        <v>67884.4927734375</v>
      </c>
      <c r="I13" s="46" t="n">
        <f aca="false">IF(I6&lt;=Lease_Term,NNN_Maintenance*(1+Escalation_Rate)^(I6-1),0)</f>
        <v>69581.6050927734</v>
      </c>
      <c r="J13" s="46" t="n">
        <f aca="false">IF(J6&lt;=Lease_Term,NNN_Maintenance*(1+Escalation_Rate)^(J6-1),0)</f>
        <v>71321.1452200927</v>
      </c>
      <c r="K13" s="46" t="n">
        <f aca="false">IF(K6&lt;=Lease_Term,NNN_Maintenance*(1+Escalation_Rate)^(K6-1),0)</f>
        <v>73104.173850595</v>
      </c>
      <c r="L13" s="46" t="n">
        <f aca="false">IF(L6&lt;=Lease_Term,NNN_Maintenance*(1+Escalation_Rate)^(L6-1),0)</f>
        <v>74931.7781968599</v>
      </c>
    </row>
    <row r="14" customFormat="false" ht="15" hidden="false" customHeight="false" outlineLevel="0" collapsed="false">
      <c r="A14" s="5"/>
      <c r="B14" s="47" t="s">
        <v>142</v>
      </c>
      <c r="C14" s="48" t="n">
        <f aca="false">C11+C12+C13</f>
        <v>280000</v>
      </c>
      <c r="D14" s="48" t="n">
        <f aca="false">D11+D12+D13</f>
        <v>287000</v>
      </c>
      <c r="E14" s="48" t="n">
        <f aca="false">E11+E12+E13</f>
        <v>294175</v>
      </c>
      <c r="F14" s="48" t="n">
        <f aca="false">F11+F12+F13</f>
        <v>301529.375</v>
      </c>
      <c r="G14" s="48" t="n">
        <f aca="false">G11+G12+G13</f>
        <v>309067.609375</v>
      </c>
      <c r="H14" s="48" t="n">
        <f aca="false">H11+H12+H13</f>
        <v>316794.299609375</v>
      </c>
      <c r="I14" s="48" t="n">
        <f aca="false">I11+I12+I13</f>
        <v>324714.157099609</v>
      </c>
      <c r="J14" s="48" t="n">
        <f aca="false">J11+J12+J13</f>
        <v>332832.011027099</v>
      </c>
      <c r="K14" s="48" t="n">
        <f aca="false">K11+K12+K13</f>
        <v>341152.811302777</v>
      </c>
      <c r="L14" s="48" t="n">
        <f aca="false">L11+L12+L13</f>
        <v>349681.631585346</v>
      </c>
    </row>
    <row r="15" customFormat="false" ht="15" hidden="false" customHeight="false" outlineLevel="0" collapsed="false">
      <c r="A15" s="5"/>
      <c r="B15" s="5"/>
      <c r="C15" s="5"/>
      <c r="D15" s="5"/>
      <c r="E15" s="5"/>
      <c r="F15" s="5"/>
      <c r="G15" s="5"/>
      <c r="H15" s="5"/>
      <c r="I15" s="5"/>
      <c r="J15" s="5"/>
      <c r="K15" s="5"/>
      <c r="L15" s="5"/>
    </row>
    <row r="16" customFormat="false" ht="15" hidden="false" customHeight="false" outlineLevel="0" collapsed="false">
      <c r="A16" s="5"/>
      <c r="B16" s="49" t="s">
        <v>143</v>
      </c>
      <c r="C16" s="50" t="n">
        <f aca="false">C9+C14</f>
        <v>1905000</v>
      </c>
      <c r="D16" s="50" t="n">
        <f aca="false">D9+D14</f>
        <v>1952625</v>
      </c>
      <c r="E16" s="50" t="n">
        <f aca="false">E9+E14</f>
        <v>2001440.625</v>
      </c>
      <c r="F16" s="50" t="n">
        <f aca="false">F9+F14</f>
        <v>2051476.640625</v>
      </c>
      <c r="G16" s="50" t="n">
        <f aca="false">G9+G14</f>
        <v>2102763.55664062</v>
      </c>
      <c r="H16" s="50" t="n">
        <f aca="false">H9+H14</f>
        <v>2155332.64555664</v>
      </c>
      <c r="I16" s="50" t="n">
        <f aca="false">I9+I14</f>
        <v>2209215.96169556</v>
      </c>
      <c r="J16" s="50" t="n">
        <f aca="false">J9+J14</f>
        <v>2264446.36073794</v>
      </c>
      <c r="K16" s="50" t="n">
        <f aca="false">K9+K14</f>
        <v>2321057.51975639</v>
      </c>
      <c r="L16" s="50" t="n">
        <f aca="false">L9+L14</f>
        <v>2379083.9577503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L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144</v>
      </c>
      <c r="C2" s="5"/>
      <c r="D2" s="5"/>
      <c r="E2" s="5"/>
      <c r="F2" s="5"/>
      <c r="G2" s="5"/>
      <c r="H2" s="5"/>
      <c r="I2" s="5"/>
      <c r="J2" s="5"/>
      <c r="K2" s="5"/>
      <c r="L2" s="5"/>
    </row>
    <row r="3" customFormat="false" ht="15" hidden="false" customHeight="false" outlineLevel="0" collapsed="false">
      <c r="A3" s="5"/>
      <c r="B3" s="30" t="s">
        <v>11</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41" t="s">
        <v>64</v>
      </c>
      <c r="C5" s="42" t="n">
        <f aca="false">Base_Year+0</f>
        <v>2025</v>
      </c>
      <c r="D5" s="42" t="n">
        <f aca="false">Base_Year+1</f>
        <v>2026</v>
      </c>
      <c r="E5" s="42" t="n">
        <f aca="false">Base_Year+2</f>
        <v>2027</v>
      </c>
      <c r="F5" s="42" t="n">
        <f aca="false">Base_Year+3</f>
        <v>2028</v>
      </c>
      <c r="G5" s="42" t="n">
        <f aca="false">Base_Year+4</f>
        <v>2029</v>
      </c>
      <c r="H5" s="42" t="n">
        <f aca="false">Base_Year+5</f>
        <v>2030</v>
      </c>
      <c r="I5" s="42" t="n">
        <f aca="false">Base_Year+6</f>
        <v>2031</v>
      </c>
      <c r="J5" s="42" t="n">
        <f aca="false">Base_Year+7</f>
        <v>2032</v>
      </c>
      <c r="K5" s="42" t="n">
        <f aca="false">Base_Year+8</f>
        <v>2033</v>
      </c>
      <c r="L5" s="42" t="n">
        <f aca="false">Base_Year+9</f>
        <v>2034</v>
      </c>
    </row>
    <row r="6" customFormat="false" ht="15" hidden="false" customHeight="false" outlineLevel="0" collapsed="false">
      <c r="A6" s="5"/>
      <c r="B6" s="8" t="s">
        <v>136</v>
      </c>
      <c r="C6" s="35" t="n">
        <f aca="false">COLUMN(C1)-2</f>
        <v>1</v>
      </c>
      <c r="D6" s="35" t="n">
        <f aca="false">COLUMN(D1)-2</f>
        <v>2</v>
      </c>
      <c r="E6" s="35" t="n">
        <f aca="false">COLUMN(E1)-2</f>
        <v>3</v>
      </c>
      <c r="F6" s="35" t="n">
        <f aca="false">COLUMN(F1)-2</f>
        <v>4</v>
      </c>
      <c r="G6" s="35" t="n">
        <f aca="false">COLUMN(G1)-2</f>
        <v>5</v>
      </c>
      <c r="H6" s="35" t="n">
        <f aca="false">COLUMN(H1)-2</f>
        <v>6</v>
      </c>
      <c r="I6" s="35" t="n">
        <f aca="false">COLUMN(I1)-2</f>
        <v>7</v>
      </c>
      <c r="J6" s="35" t="n">
        <f aca="false">COLUMN(J1)-2</f>
        <v>8</v>
      </c>
      <c r="K6" s="35" t="n">
        <f aca="false">COLUMN(K1)-2</f>
        <v>9</v>
      </c>
      <c r="L6" s="35" t="n">
        <f aca="false">COLUMN(L1)-2</f>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3" t="s">
        <v>145</v>
      </c>
      <c r="C8" s="17"/>
      <c r="D8" s="17"/>
      <c r="E8" s="17"/>
      <c r="F8" s="17"/>
      <c r="G8" s="17"/>
      <c r="H8" s="17"/>
      <c r="I8" s="17"/>
      <c r="J8" s="17"/>
      <c r="K8" s="17"/>
      <c r="L8" s="17"/>
    </row>
    <row r="9" customFormat="false" ht="15" hidden="false" customHeight="false" outlineLevel="0" collapsed="false">
      <c r="A9" s="5"/>
      <c r="B9" s="43" t="s">
        <v>137</v>
      </c>
      <c r="C9" s="44" t="n">
        <f aca="false">LS_Base_Rent</f>
        <v>1625000</v>
      </c>
      <c r="D9" s="44" t="n">
        <f aca="false">LS_Base_Rent</f>
        <v>1665625</v>
      </c>
      <c r="E9" s="44" t="n">
        <f aca="false">LS_Base_Rent</f>
        <v>1707265.625</v>
      </c>
      <c r="F9" s="44" t="n">
        <f aca="false">LS_Base_Rent</f>
        <v>1749947.265625</v>
      </c>
      <c r="G9" s="44" t="n">
        <f aca="false">LS_Base_Rent</f>
        <v>1793695.94726562</v>
      </c>
      <c r="H9" s="44" t="n">
        <f aca="false">LS_Base_Rent</f>
        <v>1838538.34594726</v>
      </c>
      <c r="I9" s="44" t="n">
        <f aca="false">LS_Base_Rent</f>
        <v>1884501.80459595</v>
      </c>
      <c r="J9" s="44" t="n">
        <f aca="false">LS_Base_Rent</f>
        <v>1931614.34971085</v>
      </c>
      <c r="K9" s="44" t="n">
        <f aca="false">LS_Base_Rent</f>
        <v>1979904.70845362</v>
      </c>
      <c r="L9" s="44" t="n">
        <f aca="false">LS_Base_Rent</f>
        <v>2029402.32616496</v>
      </c>
    </row>
    <row r="10" customFormat="false" ht="15" hidden="false" customHeight="false" outlineLevel="0" collapsed="false">
      <c r="A10" s="5"/>
      <c r="B10" s="5"/>
      <c r="C10" s="5"/>
      <c r="D10" s="5"/>
      <c r="E10" s="5"/>
      <c r="F10" s="5"/>
      <c r="G10" s="5"/>
      <c r="H10" s="5"/>
      <c r="I10" s="5"/>
      <c r="J10" s="5"/>
      <c r="K10" s="5"/>
      <c r="L10" s="5"/>
    </row>
    <row r="11" customFormat="false" ht="15" hidden="false" customHeight="false" outlineLevel="0" collapsed="false">
      <c r="A11" s="5"/>
      <c r="B11" s="33" t="s">
        <v>94</v>
      </c>
      <c r="C11" s="17"/>
      <c r="D11" s="17"/>
      <c r="E11" s="17"/>
      <c r="F11" s="17"/>
      <c r="G11" s="17"/>
      <c r="H11" s="17"/>
      <c r="I11" s="17"/>
      <c r="J11" s="17"/>
      <c r="K11" s="17"/>
      <c r="L11" s="17"/>
    </row>
    <row r="12" customFormat="false" ht="15" hidden="false" customHeight="false" outlineLevel="0" collapsed="false">
      <c r="A12" s="5"/>
      <c r="B12" s="45" t="s">
        <v>95</v>
      </c>
      <c r="C12" s="46" t="n">
        <f aca="false">Purchase_Price*Asset_Mgmt_Pct</f>
        <v>125000</v>
      </c>
      <c r="D12" s="46" t="n">
        <f aca="false">Purchase_Price*Asset_Mgmt_Pct</f>
        <v>125000</v>
      </c>
      <c r="E12" s="46" t="n">
        <f aca="false">Purchase_Price*Asset_Mgmt_Pct</f>
        <v>125000</v>
      </c>
      <c r="F12" s="46" t="n">
        <f aca="false">Purchase_Price*Asset_Mgmt_Pct</f>
        <v>125000</v>
      </c>
      <c r="G12" s="46" t="n">
        <f aca="false">Purchase_Price*Asset_Mgmt_Pct</f>
        <v>125000</v>
      </c>
      <c r="H12" s="46" t="n">
        <f aca="false">Purchase_Price*Asset_Mgmt_Pct</f>
        <v>125000</v>
      </c>
      <c r="I12" s="46" t="n">
        <f aca="false">Purchase_Price*Asset_Mgmt_Pct</f>
        <v>125000</v>
      </c>
      <c r="J12" s="46" t="n">
        <f aca="false">Purchase_Price*Asset_Mgmt_Pct</f>
        <v>125000</v>
      </c>
      <c r="K12" s="46" t="n">
        <f aca="false">Purchase_Price*Asset_Mgmt_Pct</f>
        <v>125000</v>
      </c>
      <c r="L12" s="46" t="n">
        <f aca="false">Purchase_Price*Asset_Mgmt_Pct</f>
        <v>125000</v>
      </c>
    </row>
    <row r="13" customFormat="false" ht="15" hidden="false" customHeight="false" outlineLevel="0" collapsed="false">
      <c r="A13" s="5"/>
      <c r="B13" s="45" t="s">
        <v>97</v>
      </c>
      <c r="C13" s="46" t="n">
        <f aca="false">Purchase_Price*Capex_Reserve_Pct</f>
        <v>187500</v>
      </c>
      <c r="D13" s="46" t="n">
        <f aca="false">Purchase_Price*Capex_Reserve_Pct</f>
        <v>187500</v>
      </c>
      <c r="E13" s="46" t="n">
        <f aca="false">Purchase_Price*Capex_Reserve_Pct</f>
        <v>187500</v>
      </c>
      <c r="F13" s="46" t="n">
        <f aca="false">Purchase_Price*Capex_Reserve_Pct</f>
        <v>187500</v>
      </c>
      <c r="G13" s="46" t="n">
        <f aca="false">Purchase_Price*Capex_Reserve_Pct</f>
        <v>187500</v>
      </c>
      <c r="H13" s="46" t="n">
        <f aca="false">Purchase_Price*Capex_Reserve_Pct</f>
        <v>187500</v>
      </c>
      <c r="I13" s="46" t="n">
        <f aca="false">Purchase_Price*Capex_Reserve_Pct</f>
        <v>187500</v>
      </c>
      <c r="J13" s="46" t="n">
        <f aca="false">Purchase_Price*Capex_Reserve_Pct</f>
        <v>187500</v>
      </c>
      <c r="K13" s="46" t="n">
        <f aca="false">Purchase_Price*Capex_Reserve_Pct</f>
        <v>187500</v>
      </c>
      <c r="L13" s="46" t="n">
        <f aca="false">Purchase_Price*Capex_Reserve_Pct</f>
        <v>187500</v>
      </c>
    </row>
    <row r="14" customFormat="false" ht="15" hidden="false" customHeight="false" outlineLevel="0" collapsed="false">
      <c r="A14" s="5"/>
      <c r="B14" s="47" t="s">
        <v>146</v>
      </c>
      <c r="C14" s="48" t="n">
        <f aca="false">C12+C13</f>
        <v>312500</v>
      </c>
      <c r="D14" s="48" t="n">
        <f aca="false">D12+D13</f>
        <v>312500</v>
      </c>
      <c r="E14" s="48" t="n">
        <f aca="false">E12+E13</f>
        <v>312500</v>
      </c>
      <c r="F14" s="48" t="n">
        <f aca="false">F12+F13</f>
        <v>312500</v>
      </c>
      <c r="G14" s="48" t="n">
        <f aca="false">G12+G13</f>
        <v>312500</v>
      </c>
      <c r="H14" s="48" t="n">
        <f aca="false">H12+H13</f>
        <v>312500</v>
      </c>
      <c r="I14" s="48" t="n">
        <f aca="false">I12+I13</f>
        <v>312500</v>
      </c>
      <c r="J14" s="48" t="n">
        <f aca="false">J12+J13</f>
        <v>312500</v>
      </c>
      <c r="K14" s="48" t="n">
        <f aca="false">K12+K13</f>
        <v>312500</v>
      </c>
      <c r="L14" s="48" t="n">
        <f aca="false">L12+L13</f>
        <v>312500</v>
      </c>
    </row>
    <row r="15" customFormat="false" ht="15" hidden="false" customHeight="false" outlineLevel="0" collapsed="false">
      <c r="A15" s="5"/>
      <c r="B15" s="5"/>
      <c r="C15" s="5"/>
      <c r="D15" s="5"/>
      <c r="E15" s="5"/>
      <c r="F15" s="5"/>
      <c r="G15" s="5"/>
      <c r="H15" s="5"/>
      <c r="I15" s="5"/>
      <c r="J15" s="5"/>
      <c r="K15" s="5"/>
      <c r="L15" s="5"/>
    </row>
    <row r="16" customFormat="false" ht="15" hidden="false" customHeight="false" outlineLevel="0" collapsed="false">
      <c r="A16" s="5"/>
      <c r="B16" s="49" t="s">
        <v>147</v>
      </c>
      <c r="C16" s="50" t="n">
        <f aca="false">C9-C14</f>
        <v>1312500</v>
      </c>
      <c r="D16" s="50" t="n">
        <f aca="false">D9-D14</f>
        <v>1353125</v>
      </c>
      <c r="E16" s="50" t="n">
        <f aca="false">E9-E14</f>
        <v>1394765.625</v>
      </c>
      <c r="F16" s="50" t="n">
        <f aca="false">F9-F14</f>
        <v>1437447.265625</v>
      </c>
      <c r="G16" s="50" t="n">
        <f aca="false">G9-G14</f>
        <v>1481195.94726562</v>
      </c>
      <c r="H16" s="50" t="n">
        <f aca="false">H9-H14</f>
        <v>1526038.34594726</v>
      </c>
      <c r="I16" s="50" t="n">
        <f aca="false">I9-I14</f>
        <v>1572001.80459595</v>
      </c>
      <c r="J16" s="50" t="n">
        <f aca="false">J9-J14</f>
        <v>1619114.34971085</v>
      </c>
      <c r="K16" s="50" t="n">
        <f aca="false">K9-K14</f>
        <v>1667404.70845362</v>
      </c>
      <c r="L16" s="50" t="n">
        <f aca="false">L9-L14</f>
        <v>1716902.32616496</v>
      </c>
    </row>
    <row r="17" customFormat="false" ht="15" hidden="false" customHeight="false" outlineLevel="0" collapsed="false">
      <c r="A17" s="5"/>
      <c r="B17" s="7" t="s">
        <v>148</v>
      </c>
      <c r="C17" s="51" t="n">
        <f aca="false">IFERROR(C16/C9,0)</f>
        <v>0.807692307692308</v>
      </c>
      <c r="D17" s="51" t="n">
        <f aca="false">IFERROR(D16/D9,0)</f>
        <v>0.812382739212007</v>
      </c>
      <c r="E17" s="51" t="n">
        <f aca="false">IFERROR(E16/E9,0)</f>
        <v>0.816958769962934</v>
      </c>
      <c r="F17" s="51" t="n">
        <f aca="false">IFERROR(F16/F9,0)</f>
        <v>0.821423190207741</v>
      </c>
      <c r="G17" s="51" t="n">
        <f aca="false">IFERROR(G16/G9,0)</f>
        <v>0.825778722153893</v>
      </c>
      <c r="H17" s="51" t="n">
        <f aca="false">IFERROR(H16/H9,0)</f>
        <v>0.830028021613554</v>
      </c>
      <c r="I17" s="51" t="n">
        <f aca="false">IFERROR(I16/I9,0)</f>
        <v>0.83417367962298</v>
      </c>
      <c r="J17" s="51" t="n">
        <f aca="false">IFERROR(J16/J9,0)</f>
        <v>0.838218224022419</v>
      </c>
      <c r="K17" s="51" t="n">
        <f aca="false">IFERROR(K16/K9,0)</f>
        <v>0.842164120997482</v>
      </c>
      <c r="L17" s="51" t="n">
        <f aca="false">IFERROR(L16/L9,0)</f>
        <v>0.84601377658291</v>
      </c>
    </row>
    <row r="18" customFormat="false" ht="15" hidden="false" customHeight="false" outlineLevel="0" collapsed="false">
      <c r="A18" s="5"/>
      <c r="B18" s="5"/>
      <c r="C18" s="5"/>
      <c r="D18" s="5"/>
      <c r="E18" s="5"/>
      <c r="F18" s="5"/>
      <c r="G18" s="5"/>
      <c r="H18" s="5"/>
      <c r="I18" s="5"/>
      <c r="J18" s="5"/>
      <c r="K18" s="5"/>
      <c r="L18" s="5"/>
    </row>
    <row r="19" customFormat="false" ht="15" hidden="false" customHeight="false" outlineLevel="0" collapsed="false">
      <c r="A19" s="5"/>
      <c r="B19" s="33" t="s">
        <v>149</v>
      </c>
      <c r="C19" s="17"/>
      <c r="D19" s="17"/>
      <c r="E19" s="17"/>
      <c r="F19" s="17"/>
      <c r="G19" s="17"/>
      <c r="H19" s="17"/>
      <c r="I19" s="17"/>
      <c r="J19" s="17"/>
      <c r="K19" s="17"/>
      <c r="L19" s="17"/>
    </row>
    <row r="20" customFormat="false" ht="15" hidden="false" customHeight="false" outlineLevel="0" collapsed="false">
      <c r="A20" s="5"/>
      <c r="B20" s="45" t="s">
        <v>149</v>
      </c>
      <c r="C20" s="46" t="n">
        <f aca="false">Purchase_Price*(1-Land_Pct)/Useful_Life</f>
        <v>666666.666666667</v>
      </c>
      <c r="D20" s="46" t="n">
        <f aca="false">Purchase_Price*(1-Land_Pct)/Useful_Life</f>
        <v>666666.666666667</v>
      </c>
      <c r="E20" s="46" t="n">
        <f aca="false">Purchase_Price*(1-Land_Pct)/Useful_Life</f>
        <v>666666.666666667</v>
      </c>
      <c r="F20" s="46" t="n">
        <f aca="false">Purchase_Price*(1-Land_Pct)/Useful_Life</f>
        <v>666666.666666667</v>
      </c>
      <c r="G20" s="46" t="n">
        <f aca="false">Purchase_Price*(1-Land_Pct)/Useful_Life</f>
        <v>666666.666666667</v>
      </c>
      <c r="H20" s="46" t="n">
        <f aca="false">Purchase_Price*(1-Land_Pct)/Useful_Life</f>
        <v>666666.666666667</v>
      </c>
      <c r="I20" s="46" t="n">
        <f aca="false">Purchase_Price*(1-Land_Pct)/Useful_Life</f>
        <v>666666.666666667</v>
      </c>
      <c r="J20" s="46" t="n">
        <f aca="false">Purchase_Price*(1-Land_Pct)/Useful_Life</f>
        <v>666666.666666667</v>
      </c>
      <c r="K20" s="46" t="n">
        <f aca="false">Purchase_Price*(1-Land_Pct)/Useful_Life</f>
        <v>666666.666666667</v>
      </c>
      <c r="L20" s="46" t="n">
        <f aca="false">Purchase_Price*(1-Land_Pct)/Useful_Life</f>
        <v>666666.666666667</v>
      </c>
    </row>
    <row r="21" customFormat="false" ht="15" hidden="false" customHeight="false" outlineLevel="0" collapsed="false">
      <c r="A21" s="5"/>
      <c r="B21" s="47" t="s">
        <v>150</v>
      </c>
      <c r="C21" s="48" t="n">
        <f aca="false">C16-C20</f>
        <v>645833.333333333</v>
      </c>
      <c r="D21" s="48" t="n">
        <f aca="false">D16-D20</f>
        <v>686458.333333333</v>
      </c>
      <c r="E21" s="48" t="n">
        <f aca="false">E16-E20</f>
        <v>728098.958333333</v>
      </c>
      <c r="F21" s="48" t="n">
        <f aca="false">F16-F20</f>
        <v>770780.598958333</v>
      </c>
      <c r="G21" s="48" t="n">
        <f aca="false">G16-G20</f>
        <v>814529.280598958</v>
      </c>
      <c r="H21" s="48" t="n">
        <f aca="false">H16-H20</f>
        <v>859371.679280598</v>
      </c>
      <c r="I21" s="48" t="n">
        <f aca="false">I16-I20</f>
        <v>905335.13792928</v>
      </c>
      <c r="J21" s="48" t="n">
        <f aca="false">J16-J20</f>
        <v>952447.683044178</v>
      </c>
      <c r="K21" s="48" t="n">
        <f aca="false">K16-K20</f>
        <v>1000738.04178695</v>
      </c>
      <c r="L21" s="48" t="n">
        <f aca="false">L16-L20</f>
        <v>1050235.65949829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L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151</v>
      </c>
      <c r="C2" s="5"/>
      <c r="D2" s="5"/>
      <c r="E2" s="5"/>
      <c r="F2" s="5"/>
      <c r="G2" s="5"/>
      <c r="H2" s="5"/>
      <c r="I2" s="5"/>
      <c r="J2" s="5"/>
      <c r="K2" s="5"/>
      <c r="L2" s="5"/>
    </row>
    <row r="3" customFormat="false" ht="15" hidden="false" customHeight="false" outlineLevel="0" collapsed="false">
      <c r="A3" s="5"/>
      <c r="B3" s="30" t="s">
        <v>13</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41" t="s">
        <v>64</v>
      </c>
      <c r="C5" s="42" t="n">
        <f aca="false">Base_Year+0</f>
        <v>2025</v>
      </c>
      <c r="D5" s="42" t="n">
        <f aca="false">Base_Year+1</f>
        <v>2026</v>
      </c>
      <c r="E5" s="42" t="n">
        <f aca="false">Base_Year+2</f>
        <v>2027</v>
      </c>
      <c r="F5" s="42" t="n">
        <f aca="false">Base_Year+3</f>
        <v>2028</v>
      </c>
      <c r="G5" s="42" t="n">
        <f aca="false">Base_Year+4</f>
        <v>2029</v>
      </c>
      <c r="H5" s="42" t="n">
        <f aca="false">Base_Year+5</f>
        <v>2030</v>
      </c>
      <c r="I5" s="42" t="n">
        <f aca="false">Base_Year+6</f>
        <v>2031</v>
      </c>
      <c r="J5" s="42" t="n">
        <f aca="false">Base_Year+7</f>
        <v>2032</v>
      </c>
      <c r="K5" s="42" t="n">
        <f aca="false">Base_Year+8</f>
        <v>2033</v>
      </c>
      <c r="L5" s="42" t="n">
        <f aca="false">Base_Year+9</f>
        <v>2034</v>
      </c>
    </row>
    <row r="6" customFormat="false" ht="15" hidden="false" customHeight="false" outlineLevel="0" collapsed="false">
      <c r="A6" s="5"/>
      <c r="B6" s="8" t="s">
        <v>136</v>
      </c>
      <c r="C6" s="35" t="n">
        <f aca="false">COLUMN(C1)-2</f>
        <v>1</v>
      </c>
      <c r="D6" s="35" t="n">
        <f aca="false">COLUMN(D1)-2</f>
        <v>2</v>
      </c>
      <c r="E6" s="35" t="n">
        <f aca="false">COLUMN(E1)-2</f>
        <v>3</v>
      </c>
      <c r="F6" s="35" t="n">
        <f aca="false">COLUMN(F1)-2</f>
        <v>4</v>
      </c>
      <c r="G6" s="35" t="n">
        <f aca="false">COLUMN(G1)-2</f>
        <v>5</v>
      </c>
      <c r="H6" s="35" t="n">
        <f aca="false">COLUMN(H1)-2</f>
        <v>6</v>
      </c>
      <c r="I6" s="35" t="n">
        <f aca="false">COLUMN(I1)-2</f>
        <v>7</v>
      </c>
      <c r="J6" s="35" t="n">
        <f aca="false">COLUMN(J1)-2</f>
        <v>8</v>
      </c>
      <c r="K6" s="35" t="n">
        <f aca="false">COLUMN(K1)-2</f>
        <v>9</v>
      </c>
      <c r="L6" s="35" t="n">
        <f aca="false">COLUMN(L1)-2</f>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3" t="s">
        <v>152</v>
      </c>
      <c r="C8" s="17"/>
      <c r="D8" s="17"/>
      <c r="E8" s="17"/>
      <c r="F8" s="17"/>
      <c r="G8" s="17"/>
      <c r="H8" s="17"/>
      <c r="I8" s="17"/>
      <c r="J8" s="17"/>
      <c r="K8" s="17"/>
      <c r="L8" s="17"/>
    </row>
    <row r="9" customFormat="false" ht="15" hidden="false" customHeight="false" outlineLevel="0" collapsed="false">
      <c r="A9" s="5"/>
      <c r="B9" s="43" t="s">
        <v>153</v>
      </c>
      <c r="C9" s="44" t="n">
        <f aca="false">Purchase_Price*LTV_Ratio</f>
        <v>15000000</v>
      </c>
      <c r="D9" s="44" t="n">
        <f aca="false">Purchase_Price*LTV_Ratio</f>
        <v>15000000</v>
      </c>
      <c r="E9" s="44" t="n">
        <f aca="false">Purchase_Price*LTV_Ratio</f>
        <v>15000000</v>
      </c>
      <c r="F9" s="44" t="n">
        <f aca="false">Purchase_Price*LTV_Ratio</f>
        <v>15000000</v>
      </c>
      <c r="G9" s="44" t="n">
        <f aca="false">Purchase_Price*LTV_Ratio</f>
        <v>15000000</v>
      </c>
      <c r="H9" s="44" t="n">
        <f aca="false">Purchase_Price*LTV_Ratio</f>
        <v>15000000</v>
      </c>
      <c r="I9" s="44" t="n">
        <f aca="false">Purchase_Price*LTV_Ratio</f>
        <v>15000000</v>
      </c>
      <c r="J9" s="44" t="n">
        <f aca="false">Purchase_Price*LTV_Ratio</f>
        <v>15000000</v>
      </c>
      <c r="K9" s="44" t="n">
        <f aca="false">Purchase_Price*LTV_Ratio</f>
        <v>15000000</v>
      </c>
      <c r="L9" s="44" t="n">
        <f aca="false">Purchase_Price*LTV_Ratio</f>
        <v>15000000</v>
      </c>
    </row>
    <row r="10" customFormat="false" ht="15" hidden="false" customHeight="false" outlineLevel="0" collapsed="false">
      <c r="A10" s="5"/>
      <c r="B10" s="5"/>
      <c r="C10" s="5"/>
      <c r="D10" s="5"/>
      <c r="E10" s="5"/>
      <c r="F10" s="5"/>
      <c r="G10" s="5"/>
      <c r="H10" s="5"/>
      <c r="I10" s="5"/>
      <c r="J10" s="5"/>
      <c r="K10" s="5"/>
      <c r="L10" s="5"/>
    </row>
    <row r="11" customFormat="false" ht="15" hidden="false" customHeight="false" outlineLevel="0" collapsed="false">
      <c r="A11" s="5"/>
      <c r="B11" s="33" t="s">
        <v>154</v>
      </c>
      <c r="C11" s="17"/>
      <c r="D11" s="17"/>
      <c r="E11" s="17"/>
      <c r="F11" s="17"/>
      <c r="G11" s="17"/>
      <c r="H11" s="17"/>
      <c r="I11" s="17"/>
      <c r="J11" s="17"/>
      <c r="K11" s="17"/>
      <c r="L11" s="17"/>
    </row>
    <row r="12" customFormat="false" ht="15" hidden="false" customHeight="false" outlineLevel="0" collapsed="false">
      <c r="A12" s="5"/>
      <c r="B12" s="7" t="s">
        <v>155</v>
      </c>
      <c r="C12" s="46" t="n">
        <f aca="false">Purchase_Price*LTV_Ratio</f>
        <v>15000000</v>
      </c>
      <c r="D12" s="46" t="n">
        <f aca="false">C14</f>
        <v>15000000</v>
      </c>
      <c r="E12" s="46" t="n">
        <f aca="false">D14</f>
        <v>15000000</v>
      </c>
      <c r="F12" s="46" t="n">
        <f aca="false">E14</f>
        <v>14659955.2925757</v>
      </c>
      <c r="G12" s="46" t="n">
        <f aca="false">F14</f>
        <v>14301208.126243</v>
      </c>
      <c r="H12" s="46" t="n">
        <f aca="false">G14</f>
        <v>13922729.8657621</v>
      </c>
      <c r="I12" s="46" t="n">
        <f aca="false">H14</f>
        <v>13523435.3009546</v>
      </c>
      <c r="J12" s="46" t="n">
        <f aca="false">I14</f>
        <v>13102179.5350828</v>
      </c>
      <c r="K12" s="46" t="n">
        <f aca="false">J14</f>
        <v>12657754.7020881</v>
      </c>
      <c r="L12" s="46" t="n">
        <f aca="false">K14</f>
        <v>12188886.5032786</v>
      </c>
    </row>
    <row r="13" customFormat="false" ht="15" hidden="false" customHeight="false" outlineLevel="0" collapsed="false">
      <c r="A13" s="5"/>
      <c r="B13" s="45" t="s">
        <v>156</v>
      </c>
      <c r="C13" s="46" t="n">
        <f aca="false">IF(C6&lt;=IO_Period,0,-PPMT(Interest_Rate,C6-IO_Period,Loan_Term-IO_Period,Purchase_Price*LTV_Ratio))</f>
        <v>0</v>
      </c>
      <c r="D13" s="46" t="n">
        <f aca="false">IF(D6&lt;=IO_Period,0,-PPMT(Interest_Rate,D6-IO_Period,Loan_Term-IO_Period,Purchase_Price*LTV_Ratio))</f>
        <v>0</v>
      </c>
      <c r="E13" s="46" t="n">
        <f aca="false">IF(E6&lt;=IO_Period,0,-PPMT(Interest_Rate,E6-IO_Period,Loan_Term-IO_Period,Purchase_Price*LTV_Ratio))</f>
        <v>340044.707424324</v>
      </c>
      <c r="F13" s="46" t="n">
        <f aca="false">IF(F6&lt;=IO_Period,0,-PPMT(Interest_Rate,F6-IO_Period,Loan_Term-IO_Period,Purchase_Price*LTV_Ratio))</f>
        <v>358747.166332662</v>
      </c>
      <c r="G13" s="46" t="n">
        <f aca="false">IF(G6&lt;=IO_Period,0,-PPMT(Interest_Rate,G6-IO_Period,Loan_Term-IO_Period,Purchase_Price*LTV_Ratio))</f>
        <v>378478.260480958</v>
      </c>
      <c r="H13" s="46" t="n">
        <f aca="false">IF(H6&lt;=IO_Period,0,-PPMT(Interest_Rate,H6-IO_Period,Loan_Term-IO_Period,Purchase_Price*LTV_Ratio))</f>
        <v>399294.564807411</v>
      </c>
      <c r="I13" s="46" t="n">
        <f aca="false">IF(I6&lt;=IO_Period,0,-PPMT(Interest_Rate,I6-IO_Period,Loan_Term-IO_Period,Purchase_Price*LTV_Ratio))</f>
        <v>421255.765871818</v>
      </c>
      <c r="J13" s="46" t="n">
        <f aca="false">IF(J6&lt;=IO_Period,0,-PPMT(Interest_Rate,J6-IO_Period,Loan_Term-IO_Period,Purchase_Price*LTV_Ratio))</f>
        <v>444424.832994768</v>
      </c>
      <c r="K13" s="46" t="n">
        <f aca="false">IF(K6&lt;=IO_Period,0,-PPMT(Interest_Rate,K6-IO_Period,Loan_Term-IO_Period,Purchase_Price*LTV_Ratio))</f>
        <v>468868.198809481</v>
      </c>
      <c r="L13" s="46" t="n">
        <f aca="false">IF(L6&lt;=IO_Period,0,-PPMT(Interest_Rate,L6-IO_Period,Loan_Term-IO_Period,Purchase_Price*LTV_Ratio))</f>
        <v>494655.949744002</v>
      </c>
    </row>
    <row r="14" customFormat="false" ht="15" hidden="false" customHeight="false" outlineLevel="0" collapsed="false">
      <c r="A14" s="5"/>
      <c r="B14" s="47" t="s">
        <v>157</v>
      </c>
      <c r="C14" s="48" t="n">
        <f aca="false">C12-C13</f>
        <v>15000000</v>
      </c>
      <c r="D14" s="48" t="n">
        <f aca="false">D12-D13</f>
        <v>15000000</v>
      </c>
      <c r="E14" s="48" t="n">
        <f aca="false">E12-E13</f>
        <v>14659955.2925757</v>
      </c>
      <c r="F14" s="48" t="n">
        <f aca="false">F12-F13</f>
        <v>14301208.126243</v>
      </c>
      <c r="G14" s="48" t="n">
        <f aca="false">G12-G13</f>
        <v>13922729.8657621</v>
      </c>
      <c r="H14" s="48" t="n">
        <f aca="false">H12-H13</f>
        <v>13523435.3009546</v>
      </c>
      <c r="I14" s="48" t="n">
        <f aca="false">I12-I13</f>
        <v>13102179.5350828</v>
      </c>
      <c r="J14" s="48" t="n">
        <f aca="false">J12-J13</f>
        <v>12657754.7020881</v>
      </c>
      <c r="K14" s="48" t="n">
        <f aca="false">K12-K13</f>
        <v>12188886.5032786</v>
      </c>
      <c r="L14" s="48" t="n">
        <f aca="false">L12-L13</f>
        <v>11694230.5535346</v>
      </c>
    </row>
    <row r="15" customFormat="false" ht="15" hidden="false" customHeight="false" outlineLevel="0" collapsed="false">
      <c r="A15" s="5"/>
      <c r="B15" s="5"/>
      <c r="C15" s="5"/>
      <c r="D15" s="5"/>
      <c r="E15" s="5"/>
      <c r="F15" s="5"/>
      <c r="G15" s="5"/>
      <c r="H15" s="5"/>
      <c r="I15" s="5"/>
      <c r="J15" s="5"/>
      <c r="K15" s="5"/>
      <c r="L15" s="5"/>
    </row>
    <row r="16" customFormat="false" ht="15" hidden="false" customHeight="false" outlineLevel="0" collapsed="false">
      <c r="A16" s="5"/>
      <c r="B16" s="33" t="s">
        <v>158</v>
      </c>
      <c r="C16" s="17"/>
      <c r="D16" s="17"/>
      <c r="E16" s="17"/>
      <c r="F16" s="17"/>
      <c r="G16" s="17"/>
      <c r="H16" s="17"/>
      <c r="I16" s="17"/>
      <c r="J16" s="17"/>
      <c r="K16" s="17"/>
      <c r="L16" s="17"/>
    </row>
    <row r="17" customFormat="false" ht="15" hidden="false" customHeight="false" outlineLevel="0" collapsed="false">
      <c r="A17" s="5"/>
      <c r="B17" s="45" t="s">
        <v>159</v>
      </c>
      <c r="C17" s="46" t="n">
        <f aca="false">C12*Interest_Rate</f>
        <v>825000</v>
      </c>
      <c r="D17" s="46" t="n">
        <f aca="false">D12*Interest_Rate</f>
        <v>825000</v>
      </c>
      <c r="E17" s="46" t="n">
        <f aca="false">E12*Interest_Rate</f>
        <v>825000</v>
      </c>
      <c r="F17" s="46" t="n">
        <f aca="false">F12*Interest_Rate</f>
        <v>806297.541091662</v>
      </c>
      <c r="G17" s="46" t="n">
        <f aca="false">G12*Interest_Rate</f>
        <v>786566.446943366</v>
      </c>
      <c r="H17" s="46" t="n">
        <f aca="false">H12*Interest_Rate</f>
        <v>765750.142616913</v>
      </c>
      <c r="I17" s="46" t="n">
        <f aca="false">I12*Interest_Rate</f>
        <v>743788.941552505</v>
      </c>
      <c r="J17" s="46" t="n">
        <f aca="false">J12*Interest_Rate</f>
        <v>720619.874429555</v>
      </c>
      <c r="K17" s="46" t="n">
        <f aca="false">K12*Interest_Rate</f>
        <v>696176.508614843</v>
      </c>
      <c r="L17" s="46" t="n">
        <f aca="false">L12*Interest_Rate</f>
        <v>670388.757680322</v>
      </c>
    </row>
    <row r="18" customFormat="false" ht="15" hidden="false" customHeight="false" outlineLevel="0" collapsed="false">
      <c r="A18" s="5"/>
      <c r="B18" s="49" t="s">
        <v>160</v>
      </c>
      <c r="C18" s="50" t="n">
        <f aca="false">C13+C17</f>
        <v>825000</v>
      </c>
      <c r="D18" s="50" t="n">
        <f aca="false">D13+D17</f>
        <v>825000</v>
      </c>
      <c r="E18" s="50" t="n">
        <f aca="false">E13+E17</f>
        <v>1165044.70742432</v>
      </c>
      <c r="F18" s="50" t="n">
        <f aca="false">F13+F17</f>
        <v>1165044.70742432</v>
      </c>
      <c r="G18" s="50" t="n">
        <f aca="false">G13+G17</f>
        <v>1165044.70742432</v>
      </c>
      <c r="H18" s="50" t="n">
        <f aca="false">H13+H17</f>
        <v>1165044.70742432</v>
      </c>
      <c r="I18" s="50" t="n">
        <f aca="false">I13+I17</f>
        <v>1165044.70742432</v>
      </c>
      <c r="J18" s="50" t="n">
        <f aca="false">J13+J17</f>
        <v>1165044.70742432</v>
      </c>
      <c r="K18" s="50" t="n">
        <f aca="false">K13+K17</f>
        <v>1165044.70742432</v>
      </c>
      <c r="L18" s="50" t="n">
        <f aca="false">L13+L17</f>
        <v>1165044.70742432</v>
      </c>
    </row>
    <row r="19" customFormat="false" ht="15" hidden="false" customHeight="false" outlineLevel="0" collapsed="false">
      <c r="A19" s="5"/>
      <c r="B19" s="5"/>
      <c r="C19" s="5"/>
      <c r="D19" s="5"/>
      <c r="E19" s="5"/>
      <c r="F19" s="5"/>
      <c r="G19" s="5"/>
      <c r="H19" s="5"/>
      <c r="I19" s="5"/>
      <c r="J19" s="5"/>
      <c r="K19" s="5"/>
      <c r="L19" s="5"/>
    </row>
    <row r="20" customFormat="false" ht="15" hidden="false" customHeight="false" outlineLevel="0" collapsed="false">
      <c r="A20" s="5"/>
      <c r="B20" s="33" t="s">
        <v>161</v>
      </c>
      <c r="C20" s="17"/>
      <c r="D20" s="17"/>
      <c r="E20" s="17"/>
      <c r="F20" s="17"/>
      <c r="G20" s="17"/>
      <c r="H20" s="17"/>
      <c r="I20" s="17"/>
      <c r="J20" s="17"/>
      <c r="K20" s="17"/>
      <c r="L20" s="17"/>
    </row>
    <row r="21" customFormat="false" ht="15" hidden="false" customHeight="false" outlineLevel="0" collapsed="false">
      <c r="A21" s="5"/>
      <c r="B21" s="7" t="s">
        <v>162</v>
      </c>
      <c r="C21" s="52" t="n">
        <f aca="false">IFERROR(OI_NOI/C18,0)</f>
        <v>1.59090909090909</v>
      </c>
      <c r="D21" s="52" t="n">
        <f aca="false">IFERROR(OI_NOI/D18,0)</f>
        <v>1.64015151515152</v>
      </c>
      <c r="E21" s="52" t="n">
        <f aca="false">IFERROR(OI_NOI/E18,0)</f>
        <v>1.19717777018492</v>
      </c>
      <c r="F21" s="52" t="n">
        <f aca="false">IFERROR(OI_NOI/F18,0)</f>
        <v>1.23381296568687</v>
      </c>
      <c r="G21" s="52" t="n">
        <f aca="false">IFERROR(OI_NOI/G18,0)</f>
        <v>1.27136404107637</v>
      </c>
      <c r="H21" s="52" t="n">
        <f aca="false">IFERROR(OI_NOI/H18,0)</f>
        <v>1.3098538933506</v>
      </c>
      <c r="I21" s="52" t="n">
        <f aca="false">IFERROR(OI_NOI/I18,0)</f>
        <v>1.34930599193169</v>
      </c>
      <c r="J21" s="52" t="n">
        <f aca="false">IFERROR(OI_NOI/J18,0)</f>
        <v>1.38974439297731</v>
      </c>
      <c r="K21" s="52" t="n">
        <f aca="false">IFERROR(OI_NOI/K18,0)</f>
        <v>1.43119375404907</v>
      </c>
      <c r="L21" s="52" t="n">
        <f aca="false">IFERROR(OI_NOI/L18,0)</f>
        <v>1.47367934914762</v>
      </c>
    </row>
    <row r="22" customFormat="false" ht="15" hidden="false" customHeight="false" outlineLevel="0" collapsed="false">
      <c r="A22" s="5"/>
      <c r="B22" s="7" t="s">
        <v>163</v>
      </c>
      <c r="C22" s="53" t="n">
        <f aca="false">IFERROR(OI_NOI/C12,0)</f>
        <v>0.0875</v>
      </c>
      <c r="D22" s="53" t="n">
        <f aca="false">IFERROR(OI_NOI/D12,0)</f>
        <v>0.0902083333333333</v>
      </c>
      <c r="E22" s="53" t="n">
        <f aca="false">IFERROR(OI_NOI/E12,0)</f>
        <v>0.092984375</v>
      </c>
      <c r="F22" s="53" t="n">
        <f aca="false">IFERROR(OI_NOI/F12,0)</f>
        <v>0.0980526363782961</v>
      </c>
      <c r="G22" s="53" t="n">
        <f aca="false">IFERROR(OI_NOI/G12,0)</f>
        <v>0.10357138601092</v>
      </c>
      <c r="H22" s="53" t="n">
        <f aca="false">IFERROR(OI_NOI/H12,0)</f>
        <v>0.109607696239227</v>
      </c>
      <c r="I22" s="53" t="n">
        <f aca="false">IFERROR(OI_NOI/I12,0)</f>
        <v>0.116242786659761</v>
      </c>
      <c r="J22" s="53" t="n">
        <f aca="false">IFERROR(OI_NOI/J12,0)</f>
        <v>0.123575955082546</v>
      </c>
      <c r="K22" s="53" t="n">
        <f aca="false">IFERROR(OI_NOI/K12,0)</f>
        <v>0.131729895838364</v>
      </c>
      <c r="L22" s="53" t="n">
        <f aca="false">IFERROR(OI_NOI/L12,0)</f>
        <v>0.140858012395402</v>
      </c>
    </row>
    <row r="23" customFormat="false" ht="15" hidden="false" customHeight="false" outlineLevel="0" collapsed="false">
      <c r="A23" s="5"/>
      <c r="B23" s="7" t="s">
        <v>164</v>
      </c>
      <c r="C23" s="53" t="n">
        <f aca="false">IFERROR(C14/Purchase_Price,0)</f>
        <v>0.6</v>
      </c>
      <c r="D23" s="53" t="n">
        <f aca="false">IFERROR(D14/Purchase_Price,0)</f>
        <v>0.6</v>
      </c>
      <c r="E23" s="53" t="n">
        <f aca="false">IFERROR(E14/Purchase_Price,0)</f>
        <v>0.586398211703027</v>
      </c>
      <c r="F23" s="53" t="n">
        <f aca="false">IFERROR(F14/Purchase_Price,0)</f>
        <v>0.572048325049721</v>
      </c>
      <c r="G23" s="53" t="n">
        <f aca="false">IFERROR(G14/Purchase_Price,0)</f>
        <v>0.556909194630482</v>
      </c>
      <c r="H23" s="53" t="n">
        <f aca="false">IFERROR(H14/Purchase_Price,0)</f>
        <v>0.540937412038186</v>
      </c>
      <c r="I23" s="53" t="n">
        <f aca="false">IFERROR(I14/Purchase_Price,0)</f>
        <v>0.524087181403313</v>
      </c>
      <c r="J23" s="53" t="n">
        <f aca="false">IFERROR(J14/Purchase_Price,0)</f>
        <v>0.506310188083522</v>
      </c>
      <c r="K23" s="53" t="n">
        <f aca="false">IFERROR(K14/Purchase_Price,0)</f>
        <v>0.487555460131143</v>
      </c>
      <c r="L23" s="53" t="n">
        <f aca="false">IFERROR(L14/Purchase_Price,0)</f>
        <v>0.467769222141383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L4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165</v>
      </c>
      <c r="C2" s="5"/>
      <c r="D2" s="5"/>
      <c r="E2" s="5"/>
      <c r="F2" s="5"/>
      <c r="G2" s="5"/>
      <c r="H2" s="5"/>
      <c r="I2" s="5"/>
      <c r="J2" s="5"/>
      <c r="K2" s="5"/>
      <c r="L2" s="5"/>
    </row>
    <row r="3" customFormat="false" ht="15" hidden="false" customHeight="false" outlineLevel="0" collapsed="false">
      <c r="A3" s="5"/>
      <c r="B3" s="30" t="s">
        <v>15</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41" t="s">
        <v>64</v>
      </c>
      <c r="C5" s="42" t="n">
        <f aca="false">Base_Year+0</f>
        <v>2025</v>
      </c>
      <c r="D5" s="42" t="n">
        <f aca="false">Base_Year+1</f>
        <v>2026</v>
      </c>
      <c r="E5" s="42" t="n">
        <f aca="false">Base_Year+2</f>
        <v>2027</v>
      </c>
      <c r="F5" s="42" t="n">
        <f aca="false">Base_Year+3</f>
        <v>2028</v>
      </c>
      <c r="G5" s="42" t="n">
        <f aca="false">Base_Year+4</f>
        <v>2029</v>
      </c>
      <c r="H5" s="42" t="n">
        <f aca="false">Base_Year+5</f>
        <v>2030</v>
      </c>
      <c r="I5" s="42" t="n">
        <f aca="false">Base_Year+6</f>
        <v>2031</v>
      </c>
      <c r="J5" s="42" t="n">
        <f aca="false">Base_Year+7</f>
        <v>2032</v>
      </c>
      <c r="K5" s="42" t="n">
        <f aca="false">Base_Year+8</f>
        <v>2033</v>
      </c>
      <c r="L5" s="42" t="n">
        <f aca="false">Base_Year+9</f>
        <v>2034</v>
      </c>
    </row>
    <row r="6" customFormat="false" ht="15" hidden="false" customHeight="false" outlineLevel="0" collapsed="false">
      <c r="A6" s="5"/>
      <c r="B6" s="8" t="s">
        <v>136</v>
      </c>
      <c r="C6" s="35" t="n">
        <f aca="false">COLUMN(C1)-2</f>
        <v>1</v>
      </c>
      <c r="D6" s="35" t="n">
        <f aca="false">COLUMN(D1)-2</f>
        <v>2</v>
      </c>
      <c r="E6" s="35" t="n">
        <f aca="false">COLUMN(E1)-2</f>
        <v>3</v>
      </c>
      <c r="F6" s="35" t="n">
        <f aca="false">COLUMN(F1)-2</f>
        <v>4</v>
      </c>
      <c r="G6" s="35" t="n">
        <f aca="false">COLUMN(G1)-2</f>
        <v>5</v>
      </c>
      <c r="H6" s="35" t="n">
        <f aca="false">COLUMN(H1)-2</f>
        <v>6</v>
      </c>
      <c r="I6" s="35" t="n">
        <f aca="false">COLUMN(I1)-2</f>
        <v>7</v>
      </c>
      <c r="J6" s="35" t="n">
        <f aca="false">COLUMN(J1)-2</f>
        <v>8</v>
      </c>
      <c r="K6" s="35" t="n">
        <f aca="false">COLUMN(K1)-2</f>
        <v>9</v>
      </c>
      <c r="L6" s="35" t="n">
        <f aca="false">COLUMN(L1)-2</f>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3" t="s">
        <v>166</v>
      </c>
      <c r="C8" s="17"/>
      <c r="D8" s="17"/>
      <c r="E8" s="17"/>
      <c r="F8" s="17"/>
      <c r="G8" s="17"/>
      <c r="H8" s="17"/>
      <c r="I8" s="17"/>
      <c r="J8" s="17"/>
      <c r="K8" s="17"/>
      <c r="L8" s="17"/>
    </row>
    <row r="9" customFormat="false" ht="15" hidden="false" customHeight="false" outlineLevel="0" collapsed="false">
      <c r="A9" s="5"/>
      <c r="B9" s="45" t="s">
        <v>66</v>
      </c>
      <c r="C9" s="46" t="n">
        <f aca="false">IF(C6=1,-Purchase_Price,0)</f>
        <v>-25000000</v>
      </c>
      <c r="D9" s="46" t="n">
        <f aca="false">IF(D6=1,-Purchase_Price,0)</f>
        <v>0</v>
      </c>
      <c r="E9" s="46" t="n">
        <f aca="false">IF(E6=1,-Purchase_Price,0)</f>
        <v>0</v>
      </c>
      <c r="F9" s="46" t="n">
        <f aca="false">IF(F6=1,-Purchase_Price,0)</f>
        <v>0</v>
      </c>
      <c r="G9" s="46" t="n">
        <f aca="false">IF(G6=1,-Purchase_Price,0)</f>
        <v>0</v>
      </c>
      <c r="H9" s="46" t="n">
        <f aca="false">IF(H6=1,-Purchase_Price,0)</f>
        <v>0</v>
      </c>
      <c r="I9" s="46" t="n">
        <f aca="false">IF(I6=1,-Purchase_Price,0)</f>
        <v>0</v>
      </c>
      <c r="J9" s="46" t="n">
        <f aca="false">IF(J6=1,-Purchase_Price,0)</f>
        <v>0</v>
      </c>
      <c r="K9" s="46" t="n">
        <f aca="false">IF(K6=1,-Purchase_Price,0)</f>
        <v>0</v>
      </c>
      <c r="L9" s="46" t="n">
        <f aca="false">IF(L6=1,-Purchase_Price,0)</f>
        <v>0</v>
      </c>
    </row>
    <row r="10" customFormat="false" ht="15" hidden="false" customHeight="false" outlineLevel="0" collapsed="false">
      <c r="A10" s="5"/>
      <c r="B10" s="45" t="s">
        <v>77</v>
      </c>
      <c r="C10" s="46" t="n">
        <f aca="false">IF(C6=1,-Purchase_Price*Closing_Costs_Pct,0)</f>
        <v>-500000</v>
      </c>
      <c r="D10" s="46" t="n">
        <f aca="false">IF(D6=1,-Purchase_Price*Closing_Costs_Pct,0)</f>
        <v>0</v>
      </c>
      <c r="E10" s="46" t="n">
        <f aca="false">IF(E6=1,-Purchase_Price*Closing_Costs_Pct,0)</f>
        <v>0</v>
      </c>
      <c r="F10" s="46" t="n">
        <f aca="false">IF(F6=1,-Purchase_Price*Closing_Costs_Pct,0)</f>
        <v>0</v>
      </c>
      <c r="G10" s="46" t="n">
        <f aca="false">IF(G6=1,-Purchase_Price*Closing_Costs_Pct,0)</f>
        <v>0</v>
      </c>
      <c r="H10" s="46" t="n">
        <f aca="false">IF(H6=1,-Purchase_Price*Closing_Costs_Pct,0)</f>
        <v>0</v>
      </c>
      <c r="I10" s="46" t="n">
        <f aca="false">IF(I6=1,-Purchase_Price*Closing_Costs_Pct,0)</f>
        <v>0</v>
      </c>
      <c r="J10" s="46" t="n">
        <f aca="false">IF(J6=1,-Purchase_Price*Closing_Costs_Pct,0)</f>
        <v>0</v>
      </c>
      <c r="K10" s="46" t="n">
        <f aca="false">IF(K6=1,-Purchase_Price*Closing_Costs_Pct,0)</f>
        <v>0</v>
      </c>
      <c r="L10" s="46" t="n">
        <f aca="false">IF(L6=1,-Purchase_Price*Closing_Costs_Pct,0)</f>
        <v>0</v>
      </c>
    </row>
    <row r="11" customFormat="false" ht="15" hidden="false" customHeight="false" outlineLevel="0" collapsed="false">
      <c r="A11" s="5"/>
      <c r="B11" s="45" t="s">
        <v>79</v>
      </c>
      <c r="C11" s="46" t="n">
        <f aca="false">IF(C6=1,-Purchase_Price*TI_Allowance_Pct,0)</f>
        <v>-250000</v>
      </c>
      <c r="D11" s="46" t="n">
        <f aca="false">IF(D6=1,-Purchase_Price*TI_Allowance_Pct,0)</f>
        <v>0</v>
      </c>
      <c r="E11" s="46" t="n">
        <f aca="false">IF(E6=1,-Purchase_Price*TI_Allowance_Pct,0)</f>
        <v>0</v>
      </c>
      <c r="F11" s="46" t="n">
        <f aca="false">IF(F6=1,-Purchase_Price*TI_Allowance_Pct,0)</f>
        <v>0</v>
      </c>
      <c r="G11" s="46" t="n">
        <f aca="false">IF(G6=1,-Purchase_Price*TI_Allowance_Pct,0)</f>
        <v>0</v>
      </c>
      <c r="H11" s="46" t="n">
        <f aca="false">IF(H6=1,-Purchase_Price*TI_Allowance_Pct,0)</f>
        <v>0</v>
      </c>
      <c r="I11" s="46" t="n">
        <f aca="false">IF(I6=1,-Purchase_Price*TI_Allowance_Pct,0)</f>
        <v>0</v>
      </c>
      <c r="J11" s="46" t="n">
        <f aca="false">IF(J6=1,-Purchase_Price*TI_Allowance_Pct,0)</f>
        <v>0</v>
      </c>
      <c r="K11" s="46" t="n">
        <f aca="false">IF(K6=1,-Purchase_Price*TI_Allowance_Pct,0)</f>
        <v>0</v>
      </c>
      <c r="L11" s="46" t="n">
        <f aca="false">IF(L6=1,-Purchase_Price*TI_Allowance_Pct,0)</f>
        <v>0</v>
      </c>
    </row>
    <row r="12" customFormat="false" ht="15" hidden="false" customHeight="false" outlineLevel="0" collapsed="false">
      <c r="A12" s="5"/>
      <c r="B12" s="47" t="s">
        <v>167</v>
      </c>
      <c r="C12" s="48" t="n">
        <f aca="false">C9+C10+C11</f>
        <v>-25750000</v>
      </c>
      <c r="D12" s="48" t="n">
        <f aca="false">D9+D10+D11</f>
        <v>0</v>
      </c>
      <c r="E12" s="48" t="n">
        <f aca="false">E9+E10+E11</f>
        <v>0</v>
      </c>
      <c r="F12" s="48" t="n">
        <f aca="false">F9+F10+F11</f>
        <v>0</v>
      </c>
      <c r="G12" s="48" t="n">
        <f aca="false">G9+G10+G11</f>
        <v>0</v>
      </c>
      <c r="H12" s="48" t="n">
        <f aca="false">H9+H10+H11</f>
        <v>0</v>
      </c>
      <c r="I12" s="48" t="n">
        <f aca="false">I9+I10+I11</f>
        <v>0</v>
      </c>
      <c r="J12" s="48" t="n">
        <f aca="false">J9+J10+J11</f>
        <v>0</v>
      </c>
      <c r="K12" s="48" t="n">
        <f aca="false">K9+K10+K11</f>
        <v>0</v>
      </c>
      <c r="L12" s="48" t="n">
        <f aca="false">L9+L10+L11</f>
        <v>0</v>
      </c>
    </row>
    <row r="13" customFormat="false" ht="15" hidden="false" customHeight="false" outlineLevel="0" collapsed="false">
      <c r="A13" s="5"/>
      <c r="B13" s="5"/>
      <c r="C13" s="5"/>
      <c r="D13" s="5"/>
      <c r="E13" s="5"/>
      <c r="F13" s="5"/>
      <c r="G13" s="5"/>
      <c r="H13" s="5"/>
      <c r="I13" s="5"/>
      <c r="J13" s="5"/>
      <c r="K13" s="5"/>
      <c r="L13" s="5"/>
    </row>
    <row r="14" customFormat="false" ht="15" hidden="false" customHeight="false" outlineLevel="0" collapsed="false">
      <c r="A14" s="5"/>
      <c r="B14" s="33" t="s">
        <v>98</v>
      </c>
      <c r="C14" s="17"/>
      <c r="D14" s="17"/>
      <c r="E14" s="17"/>
      <c r="F14" s="17"/>
      <c r="G14" s="17"/>
      <c r="H14" s="17"/>
      <c r="I14" s="17"/>
      <c r="J14" s="17"/>
      <c r="K14" s="17"/>
      <c r="L14" s="17"/>
    </row>
    <row r="15" customFormat="false" ht="15" hidden="false" customHeight="false" outlineLevel="0" collapsed="false">
      <c r="A15" s="5"/>
      <c r="B15" s="45" t="s">
        <v>168</v>
      </c>
      <c r="C15" s="46" t="n">
        <f aca="false">IF(C6=1,Purchase_Price*LTV_Ratio,0)</f>
        <v>15000000</v>
      </c>
      <c r="D15" s="46" t="n">
        <f aca="false">IF(D6=1,Purchase_Price*LTV_Ratio,0)</f>
        <v>0</v>
      </c>
      <c r="E15" s="46" t="n">
        <f aca="false">IF(E6=1,Purchase_Price*LTV_Ratio,0)</f>
        <v>0</v>
      </c>
      <c r="F15" s="46" t="n">
        <f aca="false">IF(F6=1,Purchase_Price*LTV_Ratio,0)</f>
        <v>0</v>
      </c>
      <c r="G15" s="46" t="n">
        <f aca="false">IF(G6=1,Purchase_Price*LTV_Ratio,0)</f>
        <v>0</v>
      </c>
      <c r="H15" s="46" t="n">
        <f aca="false">IF(H6=1,Purchase_Price*LTV_Ratio,0)</f>
        <v>0</v>
      </c>
      <c r="I15" s="46" t="n">
        <f aca="false">IF(I6=1,Purchase_Price*LTV_Ratio,0)</f>
        <v>0</v>
      </c>
      <c r="J15" s="46" t="n">
        <f aca="false">IF(J6=1,Purchase_Price*LTV_Ratio,0)</f>
        <v>0</v>
      </c>
      <c r="K15" s="46" t="n">
        <f aca="false">IF(K6=1,Purchase_Price*LTV_Ratio,0)</f>
        <v>0</v>
      </c>
      <c r="L15" s="46" t="n">
        <f aca="false">IF(L6=1,Purchase_Price*LTV_Ratio,0)</f>
        <v>0</v>
      </c>
    </row>
    <row r="16" customFormat="false" ht="15" hidden="false" customHeight="false" outlineLevel="0" collapsed="false">
      <c r="A16" s="5"/>
      <c r="B16" s="47" t="s">
        <v>169</v>
      </c>
      <c r="C16" s="48" t="n">
        <f aca="false">IF(C6=1,-(C12)-C15,0)</f>
        <v>10750000</v>
      </c>
      <c r="D16" s="48" t="n">
        <f aca="false">IF(D6=1,-(D12)-D15,0)</f>
        <v>0</v>
      </c>
      <c r="E16" s="48" t="n">
        <f aca="false">IF(E6=1,-(E12)-E15,0)</f>
        <v>0</v>
      </c>
      <c r="F16" s="48" t="n">
        <f aca="false">IF(F6=1,-(F12)-F15,0)</f>
        <v>0</v>
      </c>
      <c r="G16" s="48" t="n">
        <f aca="false">IF(G6=1,-(G12)-G15,0)</f>
        <v>0</v>
      </c>
      <c r="H16" s="48" t="n">
        <f aca="false">IF(H6=1,-(H12)-H15,0)</f>
        <v>0</v>
      </c>
      <c r="I16" s="48" t="n">
        <f aca="false">IF(I6=1,-(I12)-I15,0)</f>
        <v>0</v>
      </c>
      <c r="J16" s="48" t="n">
        <f aca="false">IF(J6=1,-(J12)-J15,0)</f>
        <v>0</v>
      </c>
      <c r="K16" s="48" t="n">
        <f aca="false">IF(K6=1,-(K12)-K15,0)</f>
        <v>0</v>
      </c>
      <c r="L16" s="48" t="n">
        <f aca="false">IF(L6=1,-(L12)-L15,0)</f>
        <v>0</v>
      </c>
    </row>
    <row r="17" customFormat="false" ht="15" hidden="false" customHeight="false" outlineLevel="0" collapsed="false">
      <c r="A17" s="5"/>
      <c r="B17" s="5"/>
      <c r="C17" s="5"/>
      <c r="D17" s="5"/>
      <c r="E17" s="5"/>
      <c r="F17" s="5"/>
      <c r="G17" s="5"/>
      <c r="H17" s="5"/>
      <c r="I17" s="5"/>
      <c r="J17" s="5"/>
      <c r="K17" s="5"/>
      <c r="L17" s="5"/>
    </row>
    <row r="18" customFormat="false" ht="15" hidden="false" customHeight="false" outlineLevel="0" collapsed="false">
      <c r="A18" s="5"/>
      <c r="B18" s="33" t="s">
        <v>170</v>
      </c>
      <c r="C18" s="17"/>
      <c r="D18" s="17"/>
      <c r="E18" s="17"/>
      <c r="F18" s="17"/>
      <c r="G18" s="17"/>
      <c r="H18" s="17"/>
      <c r="I18" s="17"/>
      <c r="J18" s="17"/>
      <c r="K18" s="17"/>
      <c r="L18" s="17"/>
    </row>
    <row r="19" customFormat="false" ht="15" hidden="false" customHeight="false" outlineLevel="0" collapsed="false">
      <c r="A19" s="5"/>
      <c r="B19" s="45" t="s">
        <v>171</v>
      </c>
      <c r="C19" s="46" t="n">
        <f aca="false">OI_NOI</f>
        <v>1312500</v>
      </c>
      <c r="D19" s="46" t="n">
        <f aca="false">OI_NOI</f>
        <v>1353125</v>
      </c>
      <c r="E19" s="46" t="n">
        <f aca="false">OI_NOI</f>
        <v>1394765.625</v>
      </c>
      <c r="F19" s="46" t="n">
        <f aca="false">OI_NOI</f>
        <v>1437447.265625</v>
      </c>
      <c r="G19" s="46" t="n">
        <f aca="false">OI_NOI</f>
        <v>1481195.94726562</v>
      </c>
      <c r="H19" s="46" t="n">
        <f aca="false">OI_NOI</f>
        <v>1526038.34594726</v>
      </c>
      <c r="I19" s="46" t="n">
        <f aca="false">OI_NOI</f>
        <v>1572001.80459595</v>
      </c>
      <c r="J19" s="46" t="n">
        <f aca="false">OI_NOI</f>
        <v>1619114.34971085</v>
      </c>
      <c r="K19" s="46" t="n">
        <f aca="false">OI_NOI</f>
        <v>1667404.70845362</v>
      </c>
      <c r="L19" s="46" t="n">
        <f aca="false">OI_NOI</f>
        <v>1716902.32616496</v>
      </c>
    </row>
    <row r="20" customFormat="false" ht="15" hidden="false" customHeight="false" outlineLevel="0" collapsed="false">
      <c r="A20" s="5"/>
      <c r="B20" s="45" t="s">
        <v>158</v>
      </c>
      <c r="C20" s="46" t="n">
        <f aca="false">-DS_Total_DS</f>
        <v>-825000</v>
      </c>
      <c r="D20" s="46" t="n">
        <f aca="false">-DS_Total_DS</f>
        <v>-825000</v>
      </c>
      <c r="E20" s="46" t="n">
        <f aca="false">-DS_Total_DS</f>
        <v>-1165044.70742432</v>
      </c>
      <c r="F20" s="46" t="n">
        <f aca="false">-DS_Total_DS</f>
        <v>-1165044.70742432</v>
      </c>
      <c r="G20" s="46" t="n">
        <f aca="false">-DS_Total_DS</f>
        <v>-1165044.70742432</v>
      </c>
      <c r="H20" s="46" t="n">
        <f aca="false">-DS_Total_DS</f>
        <v>-1165044.70742432</v>
      </c>
      <c r="I20" s="46" t="n">
        <f aca="false">-DS_Total_DS</f>
        <v>-1165044.70742432</v>
      </c>
      <c r="J20" s="46" t="n">
        <f aca="false">-DS_Total_DS</f>
        <v>-1165044.70742432</v>
      </c>
      <c r="K20" s="46" t="n">
        <f aca="false">-DS_Total_DS</f>
        <v>-1165044.70742432</v>
      </c>
      <c r="L20" s="46" t="n">
        <f aca="false">-DS_Total_DS</f>
        <v>-1165044.70742432</v>
      </c>
    </row>
    <row r="21" customFormat="false" ht="15" hidden="false" customHeight="false" outlineLevel="0" collapsed="false">
      <c r="A21" s="5"/>
      <c r="B21" s="47" t="s">
        <v>172</v>
      </c>
      <c r="C21" s="48" t="n">
        <f aca="false">C19+C20</f>
        <v>487500</v>
      </c>
      <c r="D21" s="48" t="n">
        <f aca="false">D19+D20</f>
        <v>528125</v>
      </c>
      <c r="E21" s="48" t="n">
        <f aca="false">E19+E20</f>
        <v>229720.917575676</v>
      </c>
      <c r="F21" s="48" t="n">
        <f aca="false">F19+F20</f>
        <v>272402.558200676</v>
      </c>
      <c r="G21" s="48" t="n">
        <f aca="false">G19+G20</f>
        <v>316151.2398413</v>
      </c>
      <c r="H21" s="48" t="n">
        <f aca="false">H19+H20</f>
        <v>360993.638522941</v>
      </c>
      <c r="I21" s="48" t="n">
        <f aca="false">I19+I20</f>
        <v>406957.097171622</v>
      </c>
      <c r="J21" s="48" t="n">
        <f aca="false">J19+J20</f>
        <v>454069.642286521</v>
      </c>
      <c r="K21" s="48" t="n">
        <f aca="false">K19+K20</f>
        <v>502360.001029292</v>
      </c>
      <c r="L21" s="48" t="n">
        <f aca="false">L19+L20</f>
        <v>551857.618740632</v>
      </c>
    </row>
    <row r="22" customFormat="false" ht="15" hidden="false" customHeight="false" outlineLevel="0" collapsed="false">
      <c r="A22" s="5"/>
      <c r="B22" s="5"/>
      <c r="C22" s="5"/>
      <c r="D22" s="5"/>
      <c r="E22" s="5"/>
      <c r="F22" s="5"/>
      <c r="G22" s="5"/>
      <c r="H22" s="5"/>
      <c r="I22" s="5"/>
      <c r="J22" s="5"/>
      <c r="K22" s="5"/>
      <c r="L22" s="5"/>
    </row>
    <row r="23" customFormat="false" ht="15" hidden="false" customHeight="false" outlineLevel="0" collapsed="false">
      <c r="A23" s="5"/>
      <c r="B23" s="33" t="s">
        <v>109</v>
      </c>
      <c r="C23" s="17"/>
      <c r="D23" s="17"/>
      <c r="E23" s="17"/>
      <c r="F23" s="17"/>
      <c r="G23" s="17"/>
      <c r="H23" s="17"/>
      <c r="I23" s="17"/>
      <c r="J23" s="17"/>
      <c r="K23" s="17"/>
      <c r="L23" s="17"/>
    </row>
    <row r="24" customFormat="false" ht="15" hidden="false" customHeight="false" outlineLevel="0" collapsed="false">
      <c r="A24" s="5"/>
      <c r="B24" s="45" t="s">
        <v>173</v>
      </c>
      <c r="C24" s="46" t="n">
        <f aca="false">IF(C6=10,C19*(1+Escalation_Rate),0)</f>
        <v>0</v>
      </c>
      <c r="D24" s="46" t="n">
        <f aca="false">IF(D6=10,D19*(1+Escalation_Rate),0)</f>
        <v>0</v>
      </c>
      <c r="E24" s="46" t="n">
        <f aca="false">IF(E6=10,E19*(1+Escalation_Rate),0)</f>
        <v>0</v>
      </c>
      <c r="F24" s="46" t="n">
        <f aca="false">IF(F6=10,F19*(1+Escalation_Rate),0)</f>
        <v>0</v>
      </c>
      <c r="G24" s="46" t="n">
        <f aca="false">IF(G6=10,G19*(1+Escalation_Rate),0)</f>
        <v>0</v>
      </c>
      <c r="H24" s="46" t="n">
        <f aca="false">IF(H6=10,H19*(1+Escalation_Rate),0)</f>
        <v>0</v>
      </c>
      <c r="I24" s="46" t="n">
        <f aca="false">IF(I6=10,I19*(1+Escalation_Rate),0)</f>
        <v>0</v>
      </c>
      <c r="J24" s="46" t="n">
        <f aca="false">IF(J6=10,J19*(1+Escalation_Rate),0)</f>
        <v>0</v>
      </c>
      <c r="K24" s="46" t="n">
        <f aca="false">IF(K6=10,K19*(1+Escalation_Rate),0)</f>
        <v>0</v>
      </c>
      <c r="L24" s="46" t="n">
        <f aca="false">IF(L6=10,L19*(1+Escalation_Rate),0)</f>
        <v>1759824.88431908</v>
      </c>
    </row>
    <row r="25" customFormat="false" ht="15" hidden="false" customHeight="false" outlineLevel="0" collapsed="false">
      <c r="A25" s="5"/>
      <c r="B25" s="45" t="s">
        <v>174</v>
      </c>
      <c r="C25" s="46" t="n">
        <f aca="false">IFERROR(C24/Exit_Cap_Rate,0)</f>
        <v>0</v>
      </c>
      <c r="D25" s="46" t="n">
        <f aca="false">IFERROR(D24/Exit_Cap_Rate,0)</f>
        <v>0</v>
      </c>
      <c r="E25" s="46" t="n">
        <f aca="false">IFERROR(E24/Exit_Cap_Rate,0)</f>
        <v>0</v>
      </c>
      <c r="F25" s="46" t="n">
        <f aca="false">IFERROR(F24/Exit_Cap_Rate,0)</f>
        <v>0</v>
      </c>
      <c r="G25" s="46" t="n">
        <f aca="false">IFERROR(G24/Exit_Cap_Rate,0)</f>
        <v>0</v>
      </c>
      <c r="H25" s="46" t="n">
        <f aca="false">IFERROR(H24/Exit_Cap_Rate,0)</f>
        <v>0</v>
      </c>
      <c r="I25" s="46" t="n">
        <f aca="false">IFERROR(I24/Exit_Cap_Rate,0)</f>
        <v>0</v>
      </c>
      <c r="J25" s="46" t="n">
        <f aca="false">IFERROR(J24/Exit_Cap_Rate,0)</f>
        <v>0</v>
      </c>
      <c r="K25" s="46" t="n">
        <f aca="false">IFERROR(K24/Exit_Cap_Rate,0)</f>
        <v>0</v>
      </c>
      <c r="L25" s="46" t="n">
        <f aca="false">IFERROR(L24/Exit_Cap_Rate,0)</f>
        <v>25140355.4902726</v>
      </c>
    </row>
    <row r="26" customFormat="false" ht="15" hidden="false" customHeight="false" outlineLevel="0" collapsed="false">
      <c r="A26" s="5"/>
      <c r="B26" s="45" t="s">
        <v>112</v>
      </c>
      <c r="C26" s="46" t="n">
        <f aca="false">IF(C25&lt;&gt;0,-C25*Selling_Costs_Pct,0)</f>
        <v>0</v>
      </c>
      <c r="D26" s="46" t="n">
        <f aca="false">IF(D25&lt;&gt;0,-D25*Selling_Costs_Pct,0)</f>
        <v>0</v>
      </c>
      <c r="E26" s="46" t="n">
        <f aca="false">IF(E25&lt;&gt;0,-E25*Selling_Costs_Pct,0)</f>
        <v>0</v>
      </c>
      <c r="F26" s="46" t="n">
        <f aca="false">IF(F25&lt;&gt;0,-F25*Selling_Costs_Pct,0)</f>
        <v>0</v>
      </c>
      <c r="G26" s="46" t="n">
        <f aca="false">IF(G25&lt;&gt;0,-G25*Selling_Costs_Pct,0)</f>
        <v>0</v>
      </c>
      <c r="H26" s="46" t="n">
        <f aca="false">IF(H25&lt;&gt;0,-H25*Selling_Costs_Pct,0)</f>
        <v>0</v>
      </c>
      <c r="I26" s="46" t="n">
        <f aca="false">IF(I25&lt;&gt;0,-I25*Selling_Costs_Pct,0)</f>
        <v>0</v>
      </c>
      <c r="J26" s="46" t="n">
        <f aca="false">IF(J25&lt;&gt;0,-J25*Selling_Costs_Pct,0)</f>
        <v>0</v>
      </c>
      <c r="K26" s="46" t="n">
        <f aca="false">IF(K25&lt;&gt;0,-K25*Selling_Costs_Pct,0)</f>
        <v>0</v>
      </c>
      <c r="L26" s="46" t="n">
        <f aca="false">IF(L25&lt;&gt;0,-L25*Selling_Costs_Pct,0)</f>
        <v>-502807.109805451</v>
      </c>
    </row>
    <row r="27" customFormat="false" ht="15" hidden="false" customHeight="false" outlineLevel="0" collapsed="false">
      <c r="A27" s="5"/>
      <c r="B27" s="45" t="s">
        <v>175</v>
      </c>
      <c r="C27" s="46" t="n">
        <f aca="false">IF(C6=10,-DS_Closing,0)</f>
        <v>0</v>
      </c>
      <c r="D27" s="46" t="n">
        <f aca="false">IF(D6=10,-DS_Closing,0)</f>
        <v>0</v>
      </c>
      <c r="E27" s="46" t="n">
        <f aca="false">IF(E6=10,-DS_Closing,0)</f>
        <v>0</v>
      </c>
      <c r="F27" s="46" t="n">
        <f aca="false">IF(F6=10,-DS_Closing,0)</f>
        <v>0</v>
      </c>
      <c r="G27" s="46" t="n">
        <f aca="false">IF(G6=10,-DS_Closing,0)</f>
        <v>0</v>
      </c>
      <c r="H27" s="46" t="n">
        <f aca="false">IF(H6=10,-DS_Closing,0)</f>
        <v>0</v>
      </c>
      <c r="I27" s="46" t="n">
        <f aca="false">IF(I6=10,-DS_Closing,0)</f>
        <v>0</v>
      </c>
      <c r="J27" s="46" t="n">
        <f aca="false">IF(J6=10,-DS_Closing,0)</f>
        <v>0</v>
      </c>
      <c r="K27" s="46" t="n">
        <f aca="false">IF(K6=10,-DS_Closing,0)</f>
        <v>0</v>
      </c>
      <c r="L27" s="46" t="n">
        <f aca="false">IF(L6=10,-DS_Closing,0)</f>
        <v>-11694230.5535346</v>
      </c>
    </row>
    <row r="28" customFormat="false" ht="15" hidden="false" customHeight="false" outlineLevel="0" collapsed="false">
      <c r="A28" s="5"/>
      <c r="B28" s="47" t="s">
        <v>176</v>
      </c>
      <c r="C28" s="48" t="n">
        <f aca="false">C25+C26+C27</f>
        <v>0</v>
      </c>
      <c r="D28" s="48" t="n">
        <f aca="false">D25+D26+D27</f>
        <v>0</v>
      </c>
      <c r="E28" s="48" t="n">
        <f aca="false">E25+E26+E27</f>
        <v>0</v>
      </c>
      <c r="F28" s="48" t="n">
        <f aca="false">F25+F26+F27</f>
        <v>0</v>
      </c>
      <c r="G28" s="48" t="n">
        <f aca="false">G25+G26+G27</f>
        <v>0</v>
      </c>
      <c r="H28" s="48" t="n">
        <f aca="false">H25+H26+H27</f>
        <v>0</v>
      </c>
      <c r="I28" s="48" t="n">
        <f aca="false">I25+I26+I27</f>
        <v>0</v>
      </c>
      <c r="J28" s="48" t="n">
        <f aca="false">J25+J26+J27</f>
        <v>0</v>
      </c>
      <c r="K28" s="48" t="n">
        <f aca="false">K25+K26+K27</f>
        <v>0</v>
      </c>
      <c r="L28" s="48" t="n">
        <f aca="false">L25+L26+L27</f>
        <v>12943317.8269325</v>
      </c>
    </row>
    <row r="29" customFormat="false" ht="15" hidden="false" customHeight="false" outlineLevel="0" collapsed="false">
      <c r="A29" s="5"/>
      <c r="B29" s="5"/>
      <c r="C29" s="5"/>
      <c r="D29" s="5"/>
      <c r="E29" s="5"/>
      <c r="F29" s="5"/>
      <c r="G29" s="5"/>
      <c r="H29" s="5"/>
      <c r="I29" s="5"/>
      <c r="J29" s="5"/>
      <c r="K29" s="5"/>
      <c r="L29" s="5"/>
    </row>
    <row r="30" customFormat="false" ht="15" hidden="false" customHeight="false" outlineLevel="0" collapsed="false">
      <c r="A30" s="5"/>
      <c r="B30" s="33" t="s">
        <v>177</v>
      </c>
      <c r="C30" s="17"/>
      <c r="D30" s="17"/>
      <c r="E30" s="17"/>
      <c r="F30" s="17"/>
      <c r="G30" s="17"/>
      <c r="H30" s="17"/>
      <c r="I30" s="17"/>
      <c r="J30" s="17"/>
      <c r="K30" s="17"/>
      <c r="L30" s="17"/>
    </row>
    <row r="31" customFormat="false" ht="15" hidden="false" customHeight="false" outlineLevel="0" collapsed="false">
      <c r="A31" s="5"/>
      <c r="B31" s="45" t="s">
        <v>178</v>
      </c>
      <c r="C31" s="46" t="n">
        <f aca="false">C12+C19+C25+C26</f>
        <v>-24437500</v>
      </c>
      <c r="D31" s="46" t="n">
        <f aca="false">D12+D19+D25+D26</f>
        <v>1353125</v>
      </c>
      <c r="E31" s="46" t="n">
        <f aca="false">E12+E19+E25+E26</f>
        <v>1394765.625</v>
      </c>
      <c r="F31" s="46" t="n">
        <f aca="false">F12+F19+F25+F26</f>
        <v>1437447.265625</v>
      </c>
      <c r="G31" s="46" t="n">
        <f aca="false">G12+G19+G25+G26</f>
        <v>1481195.94726562</v>
      </c>
      <c r="H31" s="46" t="n">
        <f aca="false">H12+H19+H25+H26</f>
        <v>1526038.34594726</v>
      </c>
      <c r="I31" s="46" t="n">
        <f aca="false">I12+I19+I25+I26</f>
        <v>1572001.80459595</v>
      </c>
      <c r="J31" s="46" t="n">
        <f aca="false">J12+J19+J25+J26</f>
        <v>1619114.34971085</v>
      </c>
      <c r="K31" s="46" t="n">
        <f aca="false">K12+K19+K25+K26</f>
        <v>1667404.70845362</v>
      </c>
      <c r="L31" s="46" t="n">
        <f aca="false">L12+L19+L25+L26</f>
        <v>26354450.7066321</v>
      </c>
    </row>
    <row r="32" customFormat="false" ht="15" hidden="false" customHeight="false" outlineLevel="0" collapsed="false">
      <c r="A32" s="5"/>
      <c r="B32" s="45" t="s">
        <v>172</v>
      </c>
      <c r="C32" s="46" t="n">
        <f aca="false">C12+C15+C21+C28</f>
        <v>-10262500</v>
      </c>
      <c r="D32" s="46" t="n">
        <f aca="false">D12+D15+D21+D28</f>
        <v>528125</v>
      </c>
      <c r="E32" s="46" t="n">
        <f aca="false">E12+E15+E21+E28</f>
        <v>229720.917575676</v>
      </c>
      <c r="F32" s="46" t="n">
        <f aca="false">F12+F15+F21+F28</f>
        <v>272402.558200676</v>
      </c>
      <c r="G32" s="46" t="n">
        <f aca="false">G12+G15+G21+G28</f>
        <v>316151.2398413</v>
      </c>
      <c r="H32" s="46" t="n">
        <f aca="false">H12+H15+H21+H28</f>
        <v>360993.638522941</v>
      </c>
      <c r="I32" s="46" t="n">
        <f aca="false">I12+I15+I21+I28</f>
        <v>406957.097171622</v>
      </c>
      <c r="J32" s="46" t="n">
        <f aca="false">J12+J15+J21+J28</f>
        <v>454069.642286521</v>
      </c>
      <c r="K32" s="46" t="n">
        <f aca="false">K12+K15+K21+K28</f>
        <v>502360.001029292</v>
      </c>
      <c r="L32" s="46" t="n">
        <f aca="false">L12+L15+L21+L28</f>
        <v>13495175.4456732</v>
      </c>
    </row>
    <row r="33" customFormat="false" ht="15" hidden="false" customHeight="false" outlineLevel="0" collapsed="false">
      <c r="A33" s="5"/>
      <c r="B33" s="5"/>
      <c r="C33" s="5"/>
      <c r="D33" s="5"/>
      <c r="E33" s="5"/>
      <c r="F33" s="5"/>
      <c r="G33" s="5"/>
      <c r="H33" s="5"/>
      <c r="I33" s="5"/>
      <c r="J33" s="5"/>
      <c r="K33" s="5"/>
      <c r="L33" s="5"/>
    </row>
    <row r="34" customFormat="false" ht="15" hidden="false" customHeight="false" outlineLevel="0" collapsed="false">
      <c r="A34" s="5"/>
      <c r="B34" s="33" t="s">
        <v>179</v>
      </c>
      <c r="C34" s="17"/>
      <c r="D34" s="17"/>
      <c r="E34" s="17"/>
      <c r="F34" s="17"/>
      <c r="G34" s="17"/>
      <c r="H34" s="17"/>
      <c r="I34" s="17"/>
      <c r="J34" s="17"/>
      <c r="K34" s="17"/>
      <c r="L34" s="17"/>
    </row>
    <row r="35" customFormat="false" ht="15" hidden="false" customHeight="false" outlineLevel="0" collapsed="false">
      <c r="A35" s="5"/>
      <c r="B35" s="43" t="s">
        <v>180</v>
      </c>
      <c r="C35" s="54" t="n">
        <f aca="false">IFERROR(IRR(C31:L31),0)</f>
        <v>0.0625572489013375</v>
      </c>
      <c r="D35" s="5"/>
      <c r="E35" s="5"/>
      <c r="F35" s="5"/>
      <c r="G35" s="5"/>
      <c r="H35" s="5"/>
      <c r="I35" s="5"/>
      <c r="J35" s="5"/>
      <c r="K35" s="5"/>
      <c r="L35" s="5"/>
    </row>
    <row r="36" customFormat="false" ht="15" hidden="false" customHeight="false" outlineLevel="0" collapsed="false">
      <c r="A36" s="5"/>
      <c r="B36" s="43" t="s">
        <v>181</v>
      </c>
      <c r="C36" s="54" t="n">
        <f aca="false">IFERROR(IRR(C32:L32),0)</f>
        <v>0.0610483745379926</v>
      </c>
      <c r="D36" s="5"/>
      <c r="E36" s="5"/>
      <c r="F36" s="5"/>
      <c r="G36" s="5"/>
      <c r="H36" s="5"/>
      <c r="I36" s="5"/>
      <c r="J36" s="5"/>
      <c r="K36" s="5"/>
      <c r="L36" s="5"/>
    </row>
    <row r="37" customFormat="false" ht="15" hidden="false" customHeight="false" outlineLevel="0" collapsed="false">
      <c r="A37" s="5"/>
      <c r="B37" s="43" t="s">
        <v>182</v>
      </c>
      <c r="C37" s="55" t="n">
        <f aca="false">IFERROR((SUMPRODUCT((C32:L32&gt;0)*(C32:L32)))/(ABS(SUMPRODUCT((C32:L32&lt;0)*(C32:L32)))),0)</f>
        <v>1.61422222073581</v>
      </c>
      <c r="D37" s="5"/>
      <c r="E37" s="5"/>
      <c r="F37" s="5"/>
      <c r="G37" s="5"/>
      <c r="H37" s="5"/>
      <c r="I37" s="5"/>
      <c r="J37" s="5"/>
      <c r="K37" s="5"/>
      <c r="L37" s="5"/>
    </row>
    <row r="38" customFormat="false" ht="15" hidden="false" customHeight="false" outlineLevel="0" collapsed="false">
      <c r="A38" s="5"/>
      <c r="B38" s="43" t="s">
        <v>183</v>
      </c>
      <c r="C38" s="54" t="n">
        <f aca="false">IFERROR(C21/ABS(C12+C15),0)</f>
        <v>0.0453488372093023</v>
      </c>
      <c r="D38" s="5"/>
      <c r="E38" s="5"/>
      <c r="F38" s="5"/>
      <c r="G38" s="5"/>
      <c r="H38" s="5"/>
      <c r="I38" s="5"/>
      <c r="J38" s="5"/>
      <c r="K38" s="5"/>
      <c r="L38" s="5"/>
    </row>
    <row r="39" customFormat="false" ht="15" hidden="false" customHeight="false" outlineLevel="0" collapsed="false">
      <c r="A39" s="5"/>
      <c r="B39" s="5"/>
      <c r="C39" s="5"/>
      <c r="D39" s="5"/>
      <c r="E39" s="5"/>
      <c r="F39" s="5"/>
      <c r="G39" s="5"/>
      <c r="H39" s="5"/>
      <c r="I39" s="5"/>
      <c r="J39" s="5"/>
      <c r="K39" s="5"/>
      <c r="L39" s="5"/>
    </row>
    <row r="40" customFormat="false" ht="15" hidden="false" customHeight="false" outlineLevel="0" collapsed="false">
      <c r="A40" s="5"/>
      <c r="B40" s="33" t="s">
        <v>184</v>
      </c>
      <c r="C40" s="17"/>
      <c r="D40" s="17"/>
      <c r="E40" s="17"/>
      <c r="F40" s="17"/>
      <c r="G40" s="17"/>
      <c r="H40" s="17"/>
      <c r="I40" s="17"/>
      <c r="J40" s="17"/>
      <c r="K40" s="17"/>
      <c r="L40" s="17"/>
    </row>
    <row r="41" customFormat="false" ht="15" hidden="false" customHeight="false" outlineLevel="0" collapsed="false">
      <c r="A41" s="5"/>
      <c r="B41" s="43" t="s">
        <v>185</v>
      </c>
      <c r="C41" s="56" t="str">
        <f aca="false">IF(C36&gt;=Target_IRR,"PASS","FAIL")</f>
        <v>FAIL</v>
      </c>
      <c r="D41" s="5"/>
      <c r="E41" s="5"/>
      <c r="F41" s="5"/>
      <c r="G41" s="5"/>
      <c r="H41" s="5"/>
      <c r="I41" s="5"/>
      <c r="J41" s="5"/>
      <c r="K41" s="5"/>
      <c r="L41" s="5"/>
    </row>
    <row r="42" customFormat="false" ht="15" hidden="false" customHeight="false" outlineLevel="0" collapsed="false">
      <c r="A42" s="5"/>
      <c r="B42" s="43" t="s">
        <v>186</v>
      </c>
      <c r="C42" s="56" t="str">
        <f aca="false">IF(C37&gt;=Target_Mult,"PASS","FAIL")</f>
        <v>FAIL</v>
      </c>
      <c r="D42" s="5"/>
      <c r="E42" s="5"/>
      <c r="F42" s="5"/>
      <c r="G42" s="5"/>
      <c r="H42" s="5"/>
      <c r="I42" s="5"/>
      <c r="J42" s="5"/>
      <c r="K42" s="5"/>
      <c r="L42" s="5"/>
    </row>
    <row r="43" customFormat="false" ht="15" hidden="false" customHeight="false" outlineLevel="0" collapsed="false">
      <c r="A43" s="5"/>
      <c r="B43" s="43" t="s">
        <v>187</v>
      </c>
      <c r="C43" s="56" t="str">
        <f aca="false">IF(C38&gt;=Target_CoC,"PASS","FAIL")</f>
        <v>FAIL</v>
      </c>
      <c r="D43" s="5"/>
      <c r="E43" s="5"/>
      <c r="F43" s="5"/>
      <c r="G43" s="5"/>
      <c r="H43" s="5"/>
      <c r="I43" s="5"/>
      <c r="J43" s="5"/>
      <c r="K43" s="5"/>
      <c r="L43"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L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188</v>
      </c>
      <c r="C2" s="5"/>
      <c r="D2" s="5"/>
      <c r="E2" s="5"/>
      <c r="F2" s="5"/>
      <c r="G2" s="5"/>
      <c r="H2" s="5"/>
      <c r="I2" s="5"/>
      <c r="J2" s="5"/>
      <c r="K2" s="5"/>
      <c r="L2" s="5"/>
    </row>
    <row r="3" customFormat="false" ht="15" hidden="false" customHeight="false" outlineLevel="0" collapsed="false">
      <c r="A3" s="5"/>
      <c r="B3" s="30" t="s">
        <v>189</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41" t="s">
        <v>64</v>
      </c>
      <c r="C5" s="42" t="n">
        <f aca="false">Base_Year+0</f>
        <v>2025</v>
      </c>
      <c r="D5" s="42" t="n">
        <f aca="false">Base_Year+1</f>
        <v>2026</v>
      </c>
      <c r="E5" s="42" t="n">
        <f aca="false">Base_Year+2</f>
        <v>2027</v>
      </c>
      <c r="F5" s="42" t="n">
        <f aca="false">Base_Year+3</f>
        <v>2028</v>
      </c>
      <c r="G5" s="42" t="n">
        <f aca="false">Base_Year+4</f>
        <v>2029</v>
      </c>
      <c r="H5" s="42" t="n">
        <f aca="false">Base_Year+5</f>
        <v>2030</v>
      </c>
      <c r="I5" s="42" t="n">
        <f aca="false">Base_Year+6</f>
        <v>2031</v>
      </c>
      <c r="J5" s="42" t="n">
        <f aca="false">Base_Year+7</f>
        <v>2032</v>
      </c>
      <c r="K5" s="42" t="n">
        <f aca="false">Base_Year+8</f>
        <v>2033</v>
      </c>
      <c r="L5" s="42" t="n">
        <f aca="false">Base_Year+9</f>
        <v>2034</v>
      </c>
    </row>
    <row r="6" customFormat="false" ht="15" hidden="false" customHeight="false" outlineLevel="0" collapsed="false">
      <c r="A6" s="5"/>
      <c r="B6" s="8" t="s">
        <v>136</v>
      </c>
      <c r="C6" s="35" t="n">
        <f aca="false">COLUMN(C1)-2</f>
        <v>1</v>
      </c>
      <c r="D6" s="35" t="n">
        <f aca="false">COLUMN(D1)-2</f>
        <v>2</v>
      </c>
      <c r="E6" s="35" t="n">
        <f aca="false">COLUMN(E1)-2</f>
        <v>3</v>
      </c>
      <c r="F6" s="35" t="n">
        <f aca="false">COLUMN(F1)-2</f>
        <v>4</v>
      </c>
      <c r="G6" s="35" t="n">
        <f aca="false">COLUMN(G1)-2</f>
        <v>5</v>
      </c>
      <c r="H6" s="35" t="n">
        <f aca="false">COLUMN(H1)-2</f>
        <v>6</v>
      </c>
      <c r="I6" s="35" t="n">
        <f aca="false">COLUMN(I1)-2</f>
        <v>7</v>
      </c>
      <c r="J6" s="35" t="n">
        <f aca="false">COLUMN(J1)-2</f>
        <v>8</v>
      </c>
      <c r="K6" s="35" t="n">
        <f aca="false">COLUMN(K1)-2</f>
        <v>9</v>
      </c>
      <c r="L6" s="35" t="n">
        <f aca="false">COLUMN(L1)-2</f>
        <v>10</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3" t="s">
        <v>190</v>
      </c>
      <c r="C8" s="17"/>
      <c r="D8" s="17"/>
      <c r="E8" s="17"/>
      <c r="F8" s="17"/>
      <c r="G8" s="17"/>
      <c r="H8" s="17"/>
      <c r="I8" s="17"/>
      <c r="J8" s="17"/>
      <c r="K8" s="17"/>
      <c r="L8" s="17"/>
    </row>
    <row r="9" customFormat="false" ht="15" hidden="false" customHeight="false" outlineLevel="0" collapsed="false">
      <c r="A9" s="5"/>
      <c r="B9" s="45" t="s">
        <v>191</v>
      </c>
      <c r="C9" s="46" t="n">
        <f aca="false">IF(C6=1,Purchase_Price,0)</f>
        <v>25000000</v>
      </c>
      <c r="D9" s="46" t="n">
        <f aca="false">IF(D6=1,Purchase_Price,0)</f>
        <v>0</v>
      </c>
      <c r="E9" s="46" t="n">
        <f aca="false">IF(E6=1,Purchase_Price,0)</f>
        <v>0</v>
      </c>
      <c r="F9" s="46" t="n">
        <f aca="false">IF(F6=1,Purchase_Price,0)</f>
        <v>0</v>
      </c>
      <c r="G9" s="46" t="n">
        <f aca="false">IF(G6=1,Purchase_Price,0)</f>
        <v>0</v>
      </c>
      <c r="H9" s="46" t="n">
        <f aca="false">IF(H6=1,Purchase_Price,0)</f>
        <v>0</v>
      </c>
      <c r="I9" s="46" t="n">
        <f aca="false">IF(I6=1,Purchase_Price,0)</f>
        <v>0</v>
      </c>
      <c r="J9" s="46" t="n">
        <f aca="false">IF(J6=1,Purchase_Price,0)</f>
        <v>0</v>
      </c>
      <c r="K9" s="46" t="n">
        <f aca="false">IF(K6=1,Purchase_Price,0)</f>
        <v>0</v>
      </c>
      <c r="L9" s="46" t="n">
        <f aca="false">IF(L6=1,Purchase_Price,0)</f>
        <v>0</v>
      </c>
    </row>
    <row r="10" customFormat="false" ht="15" hidden="false" customHeight="false" outlineLevel="0" collapsed="false">
      <c r="A10" s="5"/>
      <c r="B10" s="45" t="s">
        <v>192</v>
      </c>
      <c r="C10" s="46" t="n">
        <f aca="false">IF(C6=1,-Purchase_Price*Closing_Costs_Pct,0)</f>
        <v>-500000</v>
      </c>
      <c r="D10" s="46" t="n">
        <f aca="false">IF(D6=1,-Purchase_Price*Closing_Costs_Pct,0)</f>
        <v>0</v>
      </c>
      <c r="E10" s="46" t="n">
        <f aca="false">IF(E6=1,-Purchase_Price*Closing_Costs_Pct,0)</f>
        <v>0</v>
      </c>
      <c r="F10" s="46" t="n">
        <f aca="false">IF(F6=1,-Purchase_Price*Closing_Costs_Pct,0)</f>
        <v>0</v>
      </c>
      <c r="G10" s="46" t="n">
        <f aca="false">IF(G6=1,-Purchase_Price*Closing_Costs_Pct,0)</f>
        <v>0</v>
      </c>
      <c r="H10" s="46" t="n">
        <f aca="false">IF(H6=1,-Purchase_Price*Closing_Costs_Pct,0)</f>
        <v>0</v>
      </c>
      <c r="I10" s="46" t="n">
        <f aca="false">IF(I6=1,-Purchase_Price*Closing_Costs_Pct,0)</f>
        <v>0</v>
      </c>
      <c r="J10" s="46" t="n">
        <f aca="false">IF(J6=1,-Purchase_Price*Closing_Costs_Pct,0)</f>
        <v>0</v>
      </c>
      <c r="K10" s="46" t="n">
        <f aca="false">IF(K6=1,-Purchase_Price*Closing_Costs_Pct,0)</f>
        <v>0</v>
      </c>
      <c r="L10" s="46" t="n">
        <f aca="false">IF(L6=1,-Purchase_Price*Closing_Costs_Pct,0)</f>
        <v>0</v>
      </c>
    </row>
    <row r="11" customFormat="false" ht="15" hidden="false" customHeight="false" outlineLevel="0" collapsed="false">
      <c r="A11" s="5"/>
      <c r="B11" s="47" t="s">
        <v>193</v>
      </c>
      <c r="C11" s="48" t="n">
        <f aca="false">C9+C10</f>
        <v>24500000</v>
      </c>
      <c r="D11" s="48" t="n">
        <f aca="false">D9+D10</f>
        <v>0</v>
      </c>
      <c r="E11" s="48" t="n">
        <f aca="false">E9+E10</f>
        <v>0</v>
      </c>
      <c r="F11" s="48" t="n">
        <f aca="false">F9+F10</f>
        <v>0</v>
      </c>
      <c r="G11" s="48" t="n">
        <f aca="false">G9+G10</f>
        <v>0</v>
      </c>
      <c r="H11" s="48" t="n">
        <f aca="false">H9+H10</f>
        <v>0</v>
      </c>
      <c r="I11" s="48" t="n">
        <f aca="false">I9+I10</f>
        <v>0</v>
      </c>
      <c r="J11" s="48" t="n">
        <f aca="false">J9+J10</f>
        <v>0</v>
      </c>
      <c r="K11" s="48" t="n">
        <f aca="false">K9+K10</f>
        <v>0</v>
      </c>
      <c r="L11" s="48" t="n">
        <f aca="false">L9+L10</f>
        <v>0</v>
      </c>
    </row>
    <row r="12" customFormat="false" ht="15" hidden="false" customHeight="false" outlineLevel="0" collapsed="false">
      <c r="A12" s="5"/>
      <c r="B12" s="45" t="s">
        <v>194</v>
      </c>
      <c r="C12" s="46" t="n">
        <f aca="false">IF(C6=1,-Existing_Mortgage,0)</f>
        <v>-10000000</v>
      </c>
      <c r="D12" s="46" t="n">
        <f aca="false">IF(D6=1,-Existing_Mortgage,0)</f>
        <v>0</v>
      </c>
      <c r="E12" s="46" t="n">
        <f aca="false">IF(E6=1,-Existing_Mortgage,0)</f>
        <v>0</v>
      </c>
      <c r="F12" s="46" t="n">
        <f aca="false">IF(F6=1,-Existing_Mortgage,0)</f>
        <v>0</v>
      </c>
      <c r="G12" s="46" t="n">
        <f aca="false">IF(G6=1,-Existing_Mortgage,0)</f>
        <v>0</v>
      </c>
      <c r="H12" s="46" t="n">
        <f aca="false">IF(H6=1,-Existing_Mortgage,0)</f>
        <v>0</v>
      </c>
      <c r="I12" s="46" t="n">
        <f aca="false">IF(I6=1,-Existing_Mortgage,0)</f>
        <v>0</v>
      </c>
      <c r="J12" s="46" t="n">
        <f aca="false">IF(J6=1,-Existing_Mortgage,0)</f>
        <v>0</v>
      </c>
      <c r="K12" s="46" t="n">
        <f aca="false">IF(K6=1,-Existing_Mortgage,0)</f>
        <v>0</v>
      </c>
      <c r="L12" s="46" t="n">
        <f aca="false">IF(L6=1,-Existing_Mortgage,0)</f>
        <v>0</v>
      </c>
    </row>
    <row r="13" customFormat="false" ht="15" hidden="false" customHeight="false" outlineLevel="0" collapsed="false">
      <c r="A13" s="5"/>
      <c r="B13" s="49" t="s">
        <v>195</v>
      </c>
      <c r="C13" s="50" t="n">
        <f aca="false">C11+C12</f>
        <v>14500000</v>
      </c>
      <c r="D13" s="50" t="n">
        <f aca="false">D11+D12</f>
        <v>0</v>
      </c>
      <c r="E13" s="50" t="n">
        <f aca="false">E11+E12</f>
        <v>0</v>
      </c>
      <c r="F13" s="50" t="n">
        <f aca="false">F11+F12</f>
        <v>0</v>
      </c>
      <c r="G13" s="50" t="n">
        <f aca="false">G11+G12</f>
        <v>0</v>
      </c>
      <c r="H13" s="50" t="n">
        <f aca="false">H11+H12</f>
        <v>0</v>
      </c>
      <c r="I13" s="50" t="n">
        <f aca="false">I11+I12</f>
        <v>0</v>
      </c>
      <c r="J13" s="50" t="n">
        <f aca="false">J11+J12</f>
        <v>0</v>
      </c>
      <c r="K13" s="50" t="n">
        <f aca="false">K11+K12</f>
        <v>0</v>
      </c>
      <c r="L13" s="50" t="n">
        <f aca="false">L11+L12</f>
        <v>0</v>
      </c>
    </row>
    <row r="14" customFormat="false" ht="15" hidden="false" customHeight="false" outlineLevel="0" collapsed="false">
      <c r="A14" s="5"/>
      <c r="B14" s="5"/>
      <c r="C14" s="5"/>
      <c r="D14" s="5"/>
      <c r="E14" s="5"/>
      <c r="F14" s="5"/>
      <c r="G14" s="5"/>
      <c r="H14" s="5"/>
      <c r="I14" s="5"/>
      <c r="J14" s="5"/>
      <c r="K14" s="5"/>
      <c r="L14" s="5"/>
    </row>
    <row r="15" customFormat="false" ht="15" hidden="false" customHeight="false" outlineLevel="0" collapsed="false">
      <c r="A15" s="5"/>
      <c r="B15" s="33" t="s">
        <v>196</v>
      </c>
      <c r="C15" s="17"/>
      <c r="D15" s="17"/>
      <c r="E15" s="17"/>
      <c r="F15" s="17"/>
      <c r="G15" s="17"/>
      <c r="H15" s="17"/>
      <c r="I15" s="17"/>
      <c r="J15" s="17"/>
      <c r="K15" s="17"/>
      <c r="L15" s="17"/>
    </row>
    <row r="16" customFormat="false" ht="15" hidden="false" customHeight="false" outlineLevel="0" collapsed="false">
      <c r="A16" s="5"/>
      <c r="B16" s="45" t="s">
        <v>133</v>
      </c>
      <c r="C16" s="46" t="n">
        <f aca="false">IF(C6=1,Book_Value,0)</f>
        <v>18000000</v>
      </c>
      <c r="D16" s="46" t="n">
        <f aca="false">IF(D6=1,Book_Value,0)</f>
        <v>0</v>
      </c>
      <c r="E16" s="46" t="n">
        <f aca="false">IF(E6=1,Book_Value,0)</f>
        <v>0</v>
      </c>
      <c r="F16" s="46" t="n">
        <f aca="false">IF(F6=1,Book_Value,0)</f>
        <v>0</v>
      </c>
      <c r="G16" s="46" t="n">
        <f aca="false">IF(G6=1,Book_Value,0)</f>
        <v>0</v>
      </c>
      <c r="H16" s="46" t="n">
        <f aca="false">IF(H6=1,Book_Value,0)</f>
        <v>0</v>
      </c>
      <c r="I16" s="46" t="n">
        <f aca="false">IF(I6=1,Book_Value,0)</f>
        <v>0</v>
      </c>
      <c r="J16" s="46" t="n">
        <f aca="false">IF(J6=1,Book_Value,0)</f>
        <v>0</v>
      </c>
      <c r="K16" s="46" t="n">
        <f aca="false">IF(K6=1,Book_Value,0)</f>
        <v>0</v>
      </c>
      <c r="L16" s="46" t="n">
        <f aca="false">IF(L6=1,Book_Value,0)</f>
        <v>0</v>
      </c>
    </row>
    <row r="17" customFormat="false" ht="15" hidden="false" customHeight="false" outlineLevel="0" collapsed="false">
      <c r="A17" s="5"/>
      <c r="B17" s="47" t="s">
        <v>197</v>
      </c>
      <c r="C17" s="48" t="n">
        <f aca="false">IF(C6=1,C9-C16,0)</f>
        <v>7000000</v>
      </c>
      <c r="D17" s="48" t="n">
        <f aca="false">IF(D6=1,D9-D16,0)</f>
        <v>0</v>
      </c>
      <c r="E17" s="48" t="n">
        <f aca="false">IF(E6=1,E9-E16,0)</f>
        <v>0</v>
      </c>
      <c r="F17" s="48" t="n">
        <f aca="false">IF(F6=1,F9-F16,0)</f>
        <v>0</v>
      </c>
      <c r="G17" s="48" t="n">
        <f aca="false">IF(G6=1,G9-G16,0)</f>
        <v>0</v>
      </c>
      <c r="H17" s="48" t="n">
        <f aca="false">IF(H6=1,H9-H16,0)</f>
        <v>0</v>
      </c>
      <c r="I17" s="48" t="n">
        <f aca="false">IF(I6=1,I9-I16,0)</f>
        <v>0</v>
      </c>
      <c r="J17" s="48" t="n">
        <f aca="false">IF(J6=1,J9-J16,0)</f>
        <v>0</v>
      </c>
      <c r="K17" s="48" t="n">
        <f aca="false">IF(K6=1,K9-K16,0)</f>
        <v>0</v>
      </c>
      <c r="L17" s="48" t="n">
        <f aca="false">IF(L6=1,L9-L16,0)</f>
        <v>0</v>
      </c>
    </row>
    <row r="18" customFormat="false" ht="15" hidden="false" customHeight="false" outlineLevel="0" collapsed="false">
      <c r="A18" s="5"/>
      <c r="B18" s="45" t="s">
        <v>198</v>
      </c>
      <c r="C18" s="46" t="n">
        <f aca="false">IF(C17&gt;0,-C17*Seller_Tax_Rate,0)</f>
        <v>-1750000</v>
      </c>
      <c r="D18" s="46" t="n">
        <f aca="false">IF(D17&gt;0,-D17*Seller_Tax_Rate,0)</f>
        <v>0</v>
      </c>
      <c r="E18" s="46" t="n">
        <f aca="false">IF(E17&gt;0,-E17*Seller_Tax_Rate,0)</f>
        <v>0</v>
      </c>
      <c r="F18" s="46" t="n">
        <f aca="false">IF(F17&gt;0,-F17*Seller_Tax_Rate,0)</f>
        <v>0</v>
      </c>
      <c r="G18" s="46" t="n">
        <f aca="false">IF(G17&gt;0,-G17*Seller_Tax_Rate,0)</f>
        <v>0</v>
      </c>
      <c r="H18" s="46" t="n">
        <f aca="false">IF(H17&gt;0,-H17*Seller_Tax_Rate,0)</f>
        <v>0</v>
      </c>
      <c r="I18" s="46" t="n">
        <f aca="false">IF(I17&gt;0,-I17*Seller_Tax_Rate,0)</f>
        <v>0</v>
      </c>
      <c r="J18" s="46" t="n">
        <f aca="false">IF(J17&gt;0,-J17*Seller_Tax_Rate,0)</f>
        <v>0</v>
      </c>
      <c r="K18" s="46" t="n">
        <f aca="false">IF(K17&gt;0,-K17*Seller_Tax_Rate,0)</f>
        <v>0</v>
      </c>
      <c r="L18" s="46" t="n">
        <f aca="false">IF(L17&gt;0,-L17*Seller_Tax_Rate,0)</f>
        <v>0</v>
      </c>
    </row>
    <row r="19" customFormat="false" ht="15" hidden="false" customHeight="false" outlineLevel="0" collapsed="false">
      <c r="A19" s="5"/>
      <c r="B19" s="47" t="s">
        <v>199</v>
      </c>
      <c r="C19" s="48" t="n">
        <f aca="false">C17+C18</f>
        <v>5250000</v>
      </c>
      <c r="D19" s="48" t="n">
        <f aca="false">D17+D18</f>
        <v>0</v>
      </c>
      <c r="E19" s="48" t="n">
        <f aca="false">E17+E18</f>
        <v>0</v>
      </c>
      <c r="F19" s="48" t="n">
        <f aca="false">F17+F18</f>
        <v>0</v>
      </c>
      <c r="G19" s="48" t="n">
        <f aca="false">G17+G18</f>
        <v>0</v>
      </c>
      <c r="H19" s="48" t="n">
        <f aca="false">H17+H18</f>
        <v>0</v>
      </c>
      <c r="I19" s="48" t="n">
        <f aca="false">I17+I18</f>
        <v>0</v>
      </c>
      <c r="J19" s="48" t="n">
        <f aca="false">J17+J18</f>
        <v>0</v>
      </c>
      <c r="K19" s="48" t="n">
        <f aca="false">K17+K18</f>
        <v>0</v>
      </c>
      <c r="L19" s="48" t="n">
        <f aca="false">L17+L18</f>
        <v>0</v>
      </c>
    </row>
    <row r="20" customFormat="false" ht="15" hidden="false" customHeight="false" outlineLevel="0" collapsed="false">
      <c r="A20" s="5"/>
      <c r="B20" s="5"/>
      <c r="C20" s="5"/>
      <c r="D20" s="5"/>
      <c r="E20" s="5"/>
      <c r="F20" s="5"/>
      <c r="G20" s="5"/>
      <c r="H20" s="5"/>
      <c r="I20" s="5"/>
      <c r="J20" s="5"/>
      <c r="K20" s="5"/>
      <c r="L20" s="5"/>
    </row>
    <row r="21" customFormat="false" ht="15" hidden="false" customHeight="false" outlineLevel="0" collapsed="false">
      <c r="A21" s="5"/>
      <c r="B21" s="33" t="s">
        <v>200</v>
      </c>
      <c r="C21" s="17"/>
      <c r="D21" s="17"/>
      <c r="E21" s="17"/>
      <c r="F21" s="17"/>
      <c r="G21" s="17"/>
      <c r="H21" s="17"/>
      <c r="I21" s="17"/>
      <c r="J21" s="17"/>
      <c r="K21" s="17"/>
      <c r="L21" s="17"/>
    </row>
    <row r="22" customFormat="false" ht="15" hidden="false" customHeight="false" outlineLevel="0" collapsed="false">
      <c r="A22" s="5"/>
      <c r="B22" s="45" t="s">
        <v>201</v>
      </c>
      <c r="C22" s="46" t="n">
        <f aca="false">Existing_PI</f>
        <v>750000</v>
      </c>
      <c r="D22" s="46" t="n">
        <f aca="false">Existing_PI</f>
        <v>750000</v>
      </c>
      <c r="E22" s="46" t="n">
        <f aca="false">Existing_PI</f>
        <v>750000</v>
      </c>
      <c r="F22" s="46" t="n">
        <f aca="false">Existing_PI</f>
        <v>750000</v>
      </c>
      <c r="G22" s="46" t="n">
        <f aca="false">Existing_PI</f>
        <v>750000</v>
      </c>
      <c r="H22" s="46" t="n">
        <f aca="false">Existing_PI</f>
        <v>750000</v>
      </c>
      <c r="I22" s="46" t="n">
        <f aca="false">Existing_PI</f>
        <v>750000</v>
      </c>
      <c r="J22" s="46" t="n">
        <f aca="false">Existing_PI</f>
        <v>750000</v>
      </c>
      <c r="K22" s="46" t="n">
        <f aca="false">Existing_PI</f>
        <v>750000</v>
      </c>
      <c r="L22" s="46" t="n">
        <f aca="false">Existing_PI</f>
        <v>750000</v>
      </c>
    </row>
    <row r="23" customFormat="false" ht="15" hidden="false" customHeight="false" outlineLevel="0" collapsed="false">
      <c r="A23" s="5"/>
      <c r="B23" s="45" t="s">
        <v>202</v>
      </c>
      <c r="C23" s="46" t="n">
        <f aca="false">Prior_Opex*(1+Escalation_Rate)^(C6-1)</f>
        <v>350000</v>
      </c>
      <c r="D23" s="46" t="n">
        <f aca="false">Prior_Opex*(1+Escalation_Rate)^(D6-1)</f>
        <v>358750</v>
      </c>
      <c r="E23" s="46" t="n">
        <f aca="false">Prior_Opex*(1+Escalation_Rate)^(E6-1)</f>
        <v>367718.75</v>
      </c>
      <c r="F23" s="46" t="n">
        <f aca="false">Prior_Opex*(1+Escalation_Rate)^(F6-1)</f>
        <v>376911.71875</v>
      </c>
      <c r="G23" s="46" t="n">
        <f aca="false">Prior_Opex*(1+Escalation_Rate)^(G6-1)</f>
        <v>386334.51171875</v>
      </c>
      <c r="H23" s="46" t="n">
        <f aca="false">Prior_Opex*(1+Escalation_Rate)^(H6-1)</f>
        <v>395992.874511719</v>
      </c>
      <c r="I23" s="46" t="n">
        <f aca="false">Prior_Opex*(1+Escalation_Rate)^(I6-1)</f>
        <v>405892.696374511</v>
      </c>
      <c r="J23" s="46" t="n">
        <f aca="false">Prior_Opex*(1+Escalation_Rate)^(J6-1)</f>
        <v>416040.013783874</v>
      </c>
      <c r="K23" s="46" t="n">
        <f aca="false">Prior_Opex*(1+Escalation_Rate)^(K6-1)</f>
        <v>426441.014128471</v>
      </c>
      <c r="L23" s="46" t="n">
        <f aca="false">Prior_Opex*(1+Escalation_Rate)^(L6-1)</f>
        <v>437102.039481683</v>
      </c>
    </row>
    <row r="24" customFormat="false" ht="15" hidden="false" customHeight="false" outlineLevel="0" collapsed="false">
      <c r="A24" s="5"/>
      <c r="B24" s="47" t="s">
        <v>203</v>
      </c>
      <c r="C24" s="48" t="n">
        <f aca="false">C22+C23</f>
        <v>1100000</v>
      </c>
      <c r="D24" s="48" t="n">
        <f aca="false">D22+D23</f>
        <v>1108750</v>
      </c>
      <c r="E24" s="48" t="n">
        <f aca="false">E22+E23</f>
        <v>1117718.75</v>
      </c>
      <c r="F24" s="48" t="n">
        <f aca="false">F22+F23</f>
        <v>1126911.71875</v>
      </c>
      <c r="G24" s="48" t="n">
        <f aca="false">G22+G23</f>
        <v>1136334.51171875</v>
      </c>
      <c r="H24" s="48" t="n">
        <f aca="false">H22+H23</f>
        <v>1145992.87451172</v>
      </c>
      <c r="I24" s="48" t="n">
        <f aca="false">I22+I23</f>
        <v>1155892.69637451</v>
      </c>
      <c r="J24" s="48" t="n">
        <f aca="false">J22+J23</f>
        <v>1166040.01378387</v>
      </c>
      <c r="K24" s="48" t="n">
        <f aca="false">K22+K23</f>
        <v>1176441.01412847</v>
      </c>
      <c r="L24" s="48" t="n">
        <f aca="false">L22+L23</f>
        <v>1187102.03948168</v>
      </c>
    </row>
    <row r="25" customFormat="false" ht="15" hidden="false" customHeight="false" outlineLevel="0" collapsed="false">
      <c r="A25" s="5"/>
      <c r="B25" s="45" t="s">
        <v>204</v>
      </c>
      <c r="C25" s="46" t="n">
        <f aca="false">LS_Total_Occ</f>
        <v>1905000</v>
      </c>
      <c r="D25" s="46" t="n">
        <f aca="false">LS_Total_Occ</f>
        <v>1952625</v>
      </c>
      <c r="E25" s="46" t="n">
        <f aca="false">LS_Total_Occ</f>
        <v>2001440.625</v>
      </c>
      <c r="F25" s="46" t="n">
        <f aca="false">LS_Total_Occ</f>
        <v>2051476.640625</v>
      </c>
      <c r="G25" s="46" t="n">
        <f aca="false">LS_Total_Occ</f>
        <v>2102763.55664062</v>
      </c>
      <c r="H25" s="46" t="n">
        <f aca="false">LS_Total_Occ</f>
        <v>2155332.64555664</v>
      </c>
      <c r="I25" s="46" t="n">
        <f aca="false">LS_Total_Occ</f>
        <v>2209215.96169556</v>
      </c>
      <c r="J25" s="46" t="n">
        <f aca="false">LS_Total_Occ</f>
        <v>2264446.36073794</v>
      </c>
      <c r="K25" s="46" t="n">
        <f aca="false">LS_Total_Occ</f>
        <v>2321057.51975639</v>
      </c>
      <c r="L25" s="46" t="n">
        <f aca="false">LS_Total_Occ</f>
        <v>2379083.9577503</v>
      </c>
    </row>
    <row r="26" customFormat="false" ht="15" hidden="false" customHeight="false" outlineLevel="0" collapsed="false">
      <c r="A26" s="5"/>
      <c r="B26" s="49" t="s">
        <v>205</v>
      </c>
      <c r="C26" s="50" t="n">
        <f aca="false">C24-C25</f>
        <v>-805000</v>
      </c>
      <c r="D26" s="50" t="n">
        <f aca="false">D24-D25</f>
        <v>-843875</v>
      </c>
      <c r="E26" s="50" t="n">
        <f aca="false">E24-E25</f>
        <v>-883721.875</v>
      </c>
      <c r="F26" s="50" t="n">
        <f aca="false">F24-F25</f>
        <v>-924564.921875</v>
      </c>
      <c r="G26" s="50" t="n">
        <f aca="false">G24-G25</f>
        <v>-966429.044921874</v>
      </c>
      <c r="H26" s="50" t="n">
        <f aca="false">H24-H25</f>
        <v>-1009339.77104492</v>
      </c>
      <c r="I26" s="50" t="n">
        <f aca="false">I24-I25</f>
        <v>-1053323.26532104</v>
      </c>
      <c r="J26" s="50" t="n">
        <f aca="false">J24-J25</f>
        <v>-1098406.34695407</v>
      </c>
      <c r="K26" s="50" t="n">
        <f aca="false">K24-K25</f>
        <v>-1144616.50562792</v>
      </c>
      <c r="L26" s="50" t="n">
        <f aca="false">L24-L25</f>
        <v>-1191981.91826862</v>
      </c>
    </row>
    <row r="27" customFormat="false" ht="15" hidden="false" customHeight="false" outlineLevel="0" collapsed="false">
      <c r="A27" s="5"/>
      <c r="B27" s="5"/>
      <c r="C27" s="5"/>
      <c r="D27" s="5"/>
      <c r="E27" s="5"/>
      <c r="F27" s="5"/>
      <c r="G27" s="5"/>
      <c r="H27" s="5"/>
      <c r="I27" s="5"/>
      <c r="J27" s="5"/>
      <c r="K27" s="5"/>
      <c r="L27" s="5"/>
    </row>
    <row r="28" customFormat="false" ht="15" hidden="false" customHeight="false" outlineLevel="0" collapsed="false">
      <c r="A28" s="5"/>
      <c r="B28" s="33" t="s">
        <v>206</v>
      </c>
      <c r="C28" s="17"/>
      <c r="D28" s="17"/>
      <c r="E28" s="17"/>
      <c r="F28" s="17"/>
      <c r="G28" s="17"/>
      <c r="H28" s="17"/>
      <c r="I28" s="17"/>
      <c r="J28" s="17"/>
      <c r="K28" s="17"/>
      <c r="L28" s="17"/>
    </row>
    <row r="29" customFormat="false" ht="15" hidden="false" customHeight="false" outlineLevel="0" collapsed="false">
      <c r="A29" s="5"/>
      <c r="B29" s="43" t="s">
        <v>207</v>
      </c>
      <c r="C29" s="44" t="n">
        <f aca="false">NPV(Discount_Rate,C25:L25)</f>
        <v>14099534.5134982</v>
      </c>
      <c r="D29" s="5"/>
      <c r="E29" s="5"/>
      <c r="F29" s="5"/>
      <c r="G29" s="5"/>
      <c r="H29" s="5"/>
      <c r="I29" s="5"/>
      <c r="J29" s="5"/>
      <c r="K29" s="5"/>
      <c r="L29" s="5"/>
    </row>
    <row r="30" customFormat="false" ht="15" hidden="false" customHeight="false" outlineLevel="0" collapsed="false">
      <c r="A30" s="5"/>
      <c r="B30" s="43" t="s">
        <v>208</v>
      </c>
      <c r="C30" s="44" t="n">
        <f aca="false">NPV(Discount_Rate,C24:L24)</f>
        <v>7623026.70785405</v>
      </c>
      <c r="D30" s="5"/>
      <c r="E30" s="5"/>
      <c r="F30" s="5"/>
      <c r="G30" s="5"/>
      <c r="H30" s="5"/>
      <c r="I30" s="5"/>
      <c r="J30" s="5"/>
      <c r="K30" s="5"/>
      <c r="L30" s="5"/>
    </row>
    <row r="31" customFormat="false" ht="15" hidden="false" customHeight="false" outlineLevel="0" collapsed="false">
      <c r="A31" s="5"/>
      <c r="B31" s="43" t="s">
        <v>209</v>
      </c>
      <c r="C31" s="50" t="n">
        <f aca="false">C30-C29</f>
        <v>-6476507.80564419</v>
      </c>
      <c r="D31" s="5"/>
      <c r="E31" s="5"/>
      <c r="F31" s="5"/>
      <c r="G31" s="5"/>
      <c r="H31" s="5"/>
      <c r="I31" s="5"/>
      <c r="J31" s="5"/>
      <c r="K31" s="5"/>
      <c r="L31"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E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25"/>
    <col collapsed="false" customWidth="true" hidden="false" outlineLevel="0" max="5" min="5" style="0" width="30"/>
  </cols>
  <sheetData>
    <row r="1" customFormat="false" ht="15" hidden="false" customHeight="false" outlineLevel="0" collapsed="false">
      <c r="A1" s="5"/>
      <c r="B1" s="5"/>
      <c r="C1" s="5"/>
      <c r="D1" s="5"/>
      <c r="E1" s="5"/>
    </row>
    <row r="2" customFormat="false" ht="22.05" hidden="false" customHeight="false" outlineLevel="0" collapsed="false">
      <c r="A2" s="5"/>
      <c r="B2" s="29" t="s">
        <v>210</v>
      </c>
      <c r="C2" s="5"/>
      <c r="D2" s="5"/>
      <c r="E2" s="5"/>
    </row>
    <row r="3" customFormat="false" ht="15" hidden="false" customHeight="false" outlineLevel="0" collapsed="false">
      <c r="A3" s="5"/>
      <c r="B3" s="30" t="s">
        <v>211</v>
      </c>
      <c r="C3" s="5"/>
      <c r="D3" s="5"/>
      <c r="E3" s="5"/>
    </row>
    <row r="4" customFormat="false" ht="15" hidden="false" customHeight="false" outlineLevel="0" collapsed="false">
      <c r="A4" s="5"/>
      <c r="B4" s="5"/>
      <c r="C4" s="5"/>
      <c r="D4" s="5"/>
      <c r="E4" s="5"/>
    </row>
    <row r="5" customFormat="false" ht="15" hidden="false" customHeight="false" outlineLevel="0" collapsed="false">
      <c r="A5" s="5"/>
      <c r="B5" s="31" t="s">
        <v>212</v>
      </c>
      <c r="C5" s="32" t="s">
        <v>213</v>
      </c>
      <c r="D5" s="32" t="s">
        <v>59</v>
      </c>
      <c r="E5" s="32" t="s">
        <v>214</v>
      </c>
    </row>
    <row r="6" customFormat="false" ht="15" hidden="false" customHeight="false" outlineLevel="0" collapsed="false">
      <c r="A6" s="5"/>
      <c r="B6" s="5"/>
      <c r="C6" s="5"/>
      <c r="D6" s="5"/>
      <c r="E6" s="5"/>
    </row>
    <row r="7" customFormat="false" ht="15" hidden="false" customHeight="false" outlineLevel="0" collapsed="false">
      <c r="A7" s="5"/>
      <c r="B7" s="7" t="s">
        <v>215</v>
      </c>
      <c r="C7" s="56" t="str">
        <f aca="false">IF(ABS(Purchase_Price*LTV_Ratio+(Purchase_Price+Purchase_Price*Closing_Costs_Pct+Purchase_Price*TI_Allowance_Pct-Purchase_Price*LTV_Ratio)-Purchase_Price-Purchase_Price*Closing_Costs_Pct-Purchase_Price*TI_Allowance_Pct)&lt;1,"PASS","FAIL")</f>
        <v>PASS</v>
      </c>
      <c r="D7" s="8" t="s">
        <v>216</v>
      </c>
      <c r="E7" s="8" t="s">
        <v>217</v>
      </c>
    </row>
    <row r="8" customFormat="false" ht="15" hidden="false" customHeight="false" outlineLevel="0" collapsed="false">
      <c r="A8" s="5"/>
      <c r="B8" s="7" t="s">
        <v>218</v>
      </c>
      <c r="C8" s="56" t="str">
        <f aca="false">IF(MIN(Debt_Schedule!C21:L21)&gt;=1.2,"PASS","FAIL")</f>
        <v>FAIL</v>
      </c>
      <c r="D8" s="57" t="n">
        <f aca="false">MIN(Debt_Schedule!C21:L21)</f>
        <v>1.19717777018492</v>
      </c>
      <c r="E8" s="8" t="s">
        <v>219</v>
      </c>
    </row>
    <row r="9" customFormat="false" ht="15" hidden="false" customHeight="false" outlineLevel="0" collapsed="false">
      <c r="A9" s="5"/>
      <c r="B9" s="7" t="s">
        <v>220</v>
      </c>
      <c r="C9" s="56" t="str">
        <f aca="false">IF(MIN(Debt_Schedule!C22:L22)&gt;=0.08,"PASS","FAIL")</f>
        <v>PASS</v>
      </c>
      <c r="D9" s="58" t="n">
        <f aca="false">MIN(Debt_Schedule!C22:L22)</f>
        <v>0.0875</v>
      </c>
      <c r="E9" s="8" t="s">
        <v>221</v>
      </c>
    </row>
    <row r="10" customFormat="false" ht="15" hidden="false" customHeight="false" outlineLevel="0" collapsed="false">
      <c r="A10" s="5"/>
      <c r="B10" s="7" t="s">
        <v>222</v>
      </c>
      <c r="C10" s="56" t="str">
        <f aca="false">IF(AND(MIN(Operating_Income!C17:L17)&gt;=0.85,MAX(Operating_Income!C17:L17)&lt;=0.98),"PASS","FAIL")</f>
        <v>FAIL</v>
      </c>
      <c r="D10" s="58" t="n">
        <f aca="false">MIN(Operating_Income!C17:L17)</f>
        <v>0.807692307692308</v>
      </c>
      <c r="E10" s="8" t="s">
        <v>223</v>
      </c>
    </row>
    <row r="11" customFormat="false" ht="15" hidden="false" customHeight="false" outlineLevel="0" collapsed="false">
      <c r="A11" s="5"/>
      <c r="B11" s="7" t="s">
        <v>224</v>
      </c>
      <c r="C11" s="56" t="str">
        <f aca="false">IF(AND(Cash_Flow!C36&gt;=0.06,Cash_Flow!C36&lt;=0.25),"PASS","FAIL")</f>
        <v>PASS</v>
      </c>
      <c r="D11" s="58" t="n">
        <f aca="false">Cash_Flow!C36</f>
        <v>0.0610483745379926</v>
      </c>
      <c r="E11" s="8" t="s">
        <v>225</v>
      </c>
    </row>
    <row r="12" customFormat="false" ht="15" hidden="false" customHeight="false" outlineLevel="0" collapsed="false">
      <c r="A12" s="5"/>
      <c r="B12" s="7" t="s">
        <v>226</v>
      </c>
      <c r="C12" s="56" t="str">
        <f aca="false">IF(Cash_Flow!C37&gt;=1,"PASS","FAIL")</f>
        <v>PASS</v>
      </c>
      <c r="D12" s="59" t="n">
        <f aca="false">Cash_Flow!C37</f>
        <v>1.61422222073581</v>
      </c>
      <c r="E12" s="8" t="s">
        <v>227</v>
      </c>
    </row>
    <row r="13" customFormat="false" ht="15" hidden="false" customHeight="false" outlineLevel="0" collapsed="false">
      <c r="A13" s="5"/>
      <c r="B13" s="7" t="s">
        <v>228</v>
      </c>
      <c r="C13" s="56" t="str">
        <f aca="false">IF(Cash_Flow!C38&gt;0,"PASS","FAIL")</f>
        <v>PASS</v>
      </c>
      <c r="D13" s="58" t="n">
        <f aca="false">Cash_Flow!C38</f>
        <v>0.0453488372093023</v>
      </c>
      <c r="E13" s="8" t="s">
        <v>229</v>
      </c>
    </row>
    <row r="14" customFormat="false" ht="15" hidden="false" customHeight="false" outlineLevel="0" collapsed="false">
      <c r="A14" s="5"/>
      <c r="B14" s="7" t="s">
        <v>230</v>
      </c>
      <c r="C14" s="56" t="str">
        <f aca="false">IF(Debt_Schedule!L14&lt;Debt_Schedule!C12,"PASS","FAIL")</f>
        <v>PASS</v>
      </c>
      <c r="D14" s="8" t="s">
        <v>231</v>
      </c>
      <c r="E14" s="8" t="s">
        <v>232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2026-05-15T18:53:46Z</dcterms:created>
  <dc:creator>openpyxl</dc:creator>
  <dc:description/>
  <dc:language>en-GB</dc:language>
  <cp:lastModifiedBy/>
  <dcterms:modified xsi:type="dcterms:W3CDTF">2026-05-15T18:53:47Z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