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Portfolio_NAV" sheetId="3" state="visible" r:id="rId5"/>
    <sheet name="Cash_Flows" sheetId="4" state="visible" r:id="rId6"/>
    <sheet name="Leverage" sheetId="5" state="visible" r:id="rId7"/>
    <sheet name="Returns" sheetId="6" state="visible" r:id="rId8"/>
    <sheet name="Checks" sheetId="7" state="visible" r:id="rId9"/>
    <sheet name="Disclaimer" sheetId="8" state="visible" r:id="rId10"/>
  </sheets>
  <definedNames>
    <definedName function="false" hidden="false" name="Advisory_Fee_Pct" vbProcedure="false">Assumptions!$C$31</definedName>
    <definedName function="false" hidden="false" name="Call_Rate_Y1" vbProcedure="false">Assumptions!$C$25</definedName>
    <definedName function="false" hidden="false" name="Call_Rate_Y2" vbProcedure="false">Assumptions!$C$26</definedName>
    <definedName function="false" hidden="false" name="Call_Rate_Y3" vbProcedure="false">Assumptions!$C$27</definedName>
    <definedName function="false" hidden="false" name="Carry_Rate" vbProcedure="false">Assumptions!$C$48</definedName>
    <definedName function="false" hidden="false" name="CF_Cumul_Dist" vbProcedure="false">Cash_Flows!$C$26:$I$26</definedName>
    <definedName function="false" hidden="false" name="CF_Cumul_Invested" vbProcedure="false">Cash_Flows!$C$25:$I$25</definedName>
    <definedName function="false" hidden="false" name="CF_Debt_Proceeds" vbProcedure="false">Cash_Flows!$C$14:$I$14</definedName>
    <definedName function="false" hidden="false" name="CF_Distributions" vbProcedure="false">Cash_Flows!$C$13:$I$13</definedName>
    <definedName function="false" hidden="false" name="CF_Net_CF" vbProcedure="false">Cash_Flows!$C$23:$I$23</definedName>
    <definedName function="false" hidden="false" name="CF_Total_Costs" vbProcedure="false">Cash_Flows!$C$21:$I$21</definedName>
    <definedName function="false" hidden="false" name="CF_Total_Inflows" vbProcedure="false">Cash_Flows!$C$15:$I$15</definedName>
    <definedName function="false" hidden="false" name="CF_Total_Outflows" vbProcedure="false">Cash_Flows!$C$10:$I$10</definedName>
    <definedName function="false" hidden="false" name="Discount_Pct" vbProcedure="false">Assumptions!$C$7</definedName>
    <definedName function="false" hidden="false" name="Exit_Discount" vbProcedure="false">Assumptions!$C$41</definedName>
    <definedName function="false" hidden="false" name="Facility_Rate" vbProcedure="false">Assumptions!$C$37</definedName>
    <definedName function="false" hidden="false" name="Fund_Remaining_Life" vbProcedure="false">Assumptions!$C$10</definedName>
    <definedName function="false" hidden="false" name="Hurdle_Rate" vbProcedure="false">Assumptions!$C$49</definedName>
    <definedName function="false" hidden="false" name="Legal_DD_Pct" vbProcedure="false">Assumptions!$C$30</definedName>
    <definedName function="false" hidden="false" name="Leverage_Toggle" vbProcedure="false">Assumptions!$C$35</definedName>
    <definedName function="false" hidden="false" name="LV_Closing" vbProcedure="false">Leverage!$C$10:$I$10</definedName>
    <definedName function="false" hidden="false" name="LV_Interest" vbProcedure="false">Leverage!$C$12:$I$12</definedName>
    <definedName function="false" hidden="false" name="LV_Repayment" vbProcedure="false">Leverage!$C$9:$I$9</definedName>
    <definedName function="false" hidden="false" name="Max_LTV" vbProcedure="false">Assumptions!$C$36</definedName>
    <definedName function="false" hidden="false" name="Mgmt_Fee_Rate" vbProcedure="false">Assumptions!$C$47</definedName>
    <definedName function="false" hidden="false" name="NAV_Apprec_Rate" vbProcedure="false">Assumptions!$C$14</definedName>
    <definedName function="false" hidden="false" name="NAV_Closing" vbProcedure="false">Portfolio_NAV!$C$11:$I$11</definedName>
    <definedName function="false" hidden="false" name="NAV_Realisations" vbProcedure="false">Portfolio_NAV!$C$9:$I$9</definedName>
    <definedName function="false" hidden="false" name="NAV_Unfunded_Call" vbProcedure="false">Portfolio_NAV!$C$18:$I$18</definedName>
    <definedName function="false" hidden="false" name="NAV_Unfunded_Close" vbProcedure="false">Portfolio_NAV!$C$19:$I$19</definedName>
    <definedName function="false" hidden="false" name="Purchase_Price" vbProcedure="false">Assumptions!$C$8</definedName>
    <definedName function="false" hidden="false" name="Real_Rate_Y1" vbProcedure="false">Assumptions!$C$15</definedName>
    <definedName function="false" hidden="false" name="Real_Rate_Y2" vbProcedure="false">Assumptions!$C$16</definedName>
    <definedName function="false" hidden="false" name="Real_Rate_Y3" vbProcedure="false">Assumptions!$C$17</definedName>
    <definedName function="false" hidden="false" name="Real_Rate_Y4" vbProcedure="false">Assumptions!$C$18</definedName>
    <definedName function="false" hidden="false" name="Real_Rate_Y5" vbProcedure="false">Assumptions!$C$19</definedName>
    <definedName function="false" hidden="false" name="Real_Rate_Y6" vbProcedure="false">Assumptions!$C$20</definedName>
    <definedName function="false" hidden="false" name="Real_Rate_Y7" vbProcedure="false">Assumptions!$C$21</definedName>
    <definedName function="false" hidden="false" name="Repay_Sweep_Pct" vbProcedure="false">Assumptions!$C$38</definedName>
    <definedName function="false" hidden="false" name="Reported_NAV" vbProcedure="false">Assumptions!$C$6</definedName>
    <definedName function="false" hidden="false" name="Target_Gross_IRR" vbProcedure="false">Assumptions!$C$43</definedName>
    <definedName function="false" hidden="false" name="Target_Gross_MOIC" vbProcedure="false">Assumptions!$C$42</definedName>
    <definedName function="false" hidden="false" name="Target_Net_IRR_Assum" vbProcedure="false">Assumptions!$C$44</definedName>
    <definedName function="false" hidden="false" name="Transfer_Fee_Pct" vbProcedure="false">Assumptions!$C$32</definedName>
    <definedName function="false" hidden="false" name="Unfunded_Commit" vbProcedure="false">Assumptions!$C$9</definedName>
    <definedName function="false" hidden="false" name="Writedown_Rate" vbProcedure="false">Assumptions!$C$22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<sst xmlns="http://schemas.openxmlformats.org/spreadsheetml/2006/main" count="260" uniqueCount="217">
  <si>
    <t xml:space="preserve">Secondaries Fund Model</t>
  </si>
  <si>
    <t xml:space="preserve">FINAMODEL.com</t>
  </si>
  <si>
    <t xml:space="preserve">LP interest acquisition analysis</t>
  </si>
  <si>
    <t xml:space="preserve">Sheet</t>
  </si>
  <si>
    <t xml:space="preserve">Description</t>
  </si>
  <si>
    <t xml:space="preserve">Tab Colour</t>
  </si>
  <si>
    <t xml:space="preserve">Cover</t>
  </si>
  <si>
    <t xml:space="preserve">Title and navigation</t>
  </si>
  <si>
    <t xml:space="preserve">Dark Blue</t>
  </si>
  <si>
    <t xml:space="preserve">Assumptions</t>
  </si>
  <si>
    <t xml:space="preserve">Transaction terms, portfolio, costs</t>
  </si>
  <si>
    <t xml:space="preserve">Light Blue</t>
  </si>
  <si>
    <t xml:space="preserve">Portfolio_NAV</t>
  </si>
  <si>
    <t xml:space="preserve">NAV roll-forward and realisations</t>
  </si>
  <si>
    <t xml:space="preserve">Green</t>
  </si>
  <si>
    <t xml:space="preserve">Cash_Flows</t>
  </si>
  <si>
    <t xml:space="preserve">Buyer cash flows and net returns</t>
  </si>
  <si>
    <t xml:space="preserve">Leverage</t>
  </si>
  <si>
    <t xml:space="preserve">Optional debt facility</t>
  </si>
  <si>
    <t xml:space="preserve">Red</t>
  </si>
  <si>
    <t xml:space="preserve">Returns</t>
  </si>
  <si>
    <t xml:space="preserve">IRR, MOIC, DPI, RVPI, TVPI</t>
  </si>
  <si>
    <t xml:space="preserve">Grey</t>
  </si>
  <si>
    <t xml:space="preserve">Checks</t>
  </si>
  <si>
    <t xml:space="preserve">Validation and integrity checks</t>
  </si>
  <si>
    <t xml:space="preserve">Fund Age at Purchase</t>
  </si>
  <si>
    <t xml:space="preserve">7 years</t>
  </si>
  <si>
    <t xml:space="preserve">About this model</t>
  </si>
  <si>
    <t xml:space="preserve">Model secondary fund returns and J-curve for LP-view investors acquiring existing fund interests at a discount to reported NAV. The model projects cash inflows from distributions (15-30% of portfolio NAV realised annually in harvest phase) and outflows from unfunded commitment calls (10-30% of remaining unfunded per year). It calculates entry discount impact, models NAV appreciation/depreciation by fund vintage, and outputs gross and net IRR (before/after management fees and carry) plus DPI, RVPI, and TVPI multiples.
Key mechanics: purchase price is discounted NAV; distributions come in lumpy, back-loaded waves as underlying GP exits portfolio companies; unfunded calls must be reserved for; and the buyer assumes the GP's remaining hold period (typically 3-5 years of distributions). Leverage is optional (NAV facilities at 20-40% LTV with SOFR+200-400 bps). The model isolates gross returns (1.4-1.8x MOIC) from net-of-fee returns (1.3-1.6x) and includes sensitivity to entry discount and realisation pace.
Target audience: secondaries funds, pension funds, endowments, and institutional LPs evaluating secondary interest acquisitions. Critical for understanding tail-risk funds and how discount-to-NAV creates return potential at different realisation speeds.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</si>
  <si>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</si>
  <si>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</si>
  <si>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</si>
  <si>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</si>
  <si>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Input parameters</t>
  </si>
  <si>
    <t xml:space="preserve">Parameter</t>
  </si>
  <si>
    <t xml:space="preserve">Value</t>
  </si>
  <si>
    <t xml:space="preserve">Unit</t>
  </si>
  <si>
    <t xml:space="preserve">Notes</t>
  </si>
  <si>
    <t xml:space="preserve">Transaction Terms</t>
  </si>
  <si>
    <t xml:space="preserve">Reported NAV</t>
  </si>
  <si>
    <t xml:space="preserve">$M</t>
  </si>
  <si>
    <t xml:space="preserve">Seller's reported fund NAV</t>
  </si>
  <si>
    <t xml:space="preserve">Discount to NAV</t>
  </si>
  <si>
    <t xml:space="preserve">%</t>
  </si>
  <si>
    <t xml:space="preserve">Buyer's negotiated discount</t>
  </si>
  <si>
    <t xml:space="preserve">Purchase Price</t>
  </si>
  <si>
    <t xml:space="preserve">NAV x (1 - Discount)</t>
  </si>
  <si>
    <t xml:space="preserve">Unfunded Commitment</t>
  </si>
  <si>
    <t xml:space="preserve">Remaining uncalled capital</t>
  </si>
  <si>
    <t xml:space="preserve">Remaining Fund Life</t>
  </si>
  <si>
    <t xml:space="preserve">years</t>
  </si>
  <si>
    <t xml:space="preserve">Years to final liquidation</t>
  </si>
  <si>
    <t xml:space="preserve">Portfolio Characteristics</t>
  </si>
  <si>
    <t xml:space="preserve">NAV Appreciation Rate</t>
  </si>
  <si>
    <t xml:space="preserve">%/yr</t>
  </si>
  <si>
    <t xml:space="preserve">Annual value growth</t>
  </si>
  <si>
    <t xml:space="preserve">Realisation Rate Y1</t>
  </si>
  <si>
    <t xml:space="preserve">% of opening NAV realised</t>
  </si>
  <si>
    <t xml:space="preserve">Realisation Rate Y2</t>
  </si>
  <si>
    <t xml:space="preserve">Peak exit activity</t>
  </si>
  <si>
    <t xml:space="preserve">Realisation Rate Y3</t>
  </si>
  <si>
    <t xml:space="preserve">Realisation Rate Y4</t>
  </si>
  <si>
    <t xml:space="preserve">Winding down</t>
  </si>
  <si>
    <t xml:space="preserve">Realisation Rate Y5</t>
  </si>
  <si>
    <t xml:space="preserve">Realisation Rate Y6</t>
  </si>
  <si>
    <t xml:space="preserve">Final realisations</t>
  </si>
  <si>
    <t xml:space="preserve">Realisation Rate Y7</t>
  </si>
  <si>
    <t xml:space="preserve">Tail-end liquidation</t>
  </si>
  <si>
    <t xml:space="preserve">Write-Down Rate</t>
  </si>
  <si>
    <t xml:space="preserve">Annual portfolio write-downs</t>
  </si>
  <si>
    <t xml:space="preserve">Unfunded Commitment Calls</t>
  </si>
  <si>
    <t xml:space="preserve">Call Rate Y1</t>
  </si>
  <si>
    <t xml:space="preserve">% of opening unfunded called</t>
  </si>
  <si>
    <t xml:space="preserve">Call Rate Y2</t>
  </si>
  <si>
    <t xml:space="preserve">Declining as fund matures</t>
  </si>
  <si>
    <t xml:space="preserve">Call Rate Y3</t>
  </si>
  <si>
    <t xml:space="preserve">Minimal late-stage calls</t>
  </si>
  <si>
    <t xml:space="preserve">Transaction Costs</t>
  </si>
  <si>
    <t xml:space="preserve">Legal &amp; DD Costs</t>
  </si>
  <si>
    <t xml:space="preserve">% of purchase price</t>
  </si>
  <si>
    <t xml:space="preserve">Advisory Fee</t>
  </si>
  <si>
    <t xml:space="preserve">Intermediary/broker fee</t>
  </si>
  <si>
    <t xml:space="preserve">Transfer Fee</t>
  </si>
  <si>
    <t xml:space="preserve">GP transfer charge</t>
  </si>
  <si>
    <t xml:space="preserve">Leverage (Optional)</t>
  </si>
  <si>
    <t xml:space="preserve">Leverage On/Off</t>
  </si>
  <si>
    <t xml:space="preserve">1 = on, 0 = off</t>
  </si>
  <si>
    <t xml:space="preserve">Max LTV</t>
  </si>
  <si>
    <t xml:space="preserve">Facility cap vs NAV</t>
  </si>
  <si>
    <t xml:space="preserve">Facility Rate</t>
  </si>
  <si>
    <t xml:space="preserve">SOFR + spread</t>
  </si>
  <si>
    <t xml:space="preserve">Dist Sweep for Repay</t>
  </si>
  <si>
    <t xml:space="preserve">% of distributions to repay</t>
  </si>
  <si>
    <t xml:space="preserve">Return Targets &amp; Residual</t>
  </si>
  <si>
    <t xml:space="preserve">Residual Exit Discount</t>
  </si>
  <si>
    <t xml:space="preserve">Discount on unsold NAV</t>
  </si>
  <si>
    <t xml:space="preserve">Target Gross MOIC</t>
  </si>
  <si>
    <t xml:space="preserve">x</t>
  </si>
  <si>
    <t xml:space="preserve">Benchmark</t>
  </si>
  <si>
    <t xml:space="preserve">Target Gross IRR</t>
  </si>
  <si>
    <t xml:space="preserve">Target Net IRR</t>
  </si>
  <si>
    <t xml:space="preserve">After fund fees</t>
  </si>
  <si>
    <t xml:space="preserve">Fund-Level Fees</t>
  </si>
  <si>
    <t xml:space="preserve">Management Fee</t>
  </si>
  <si>
    <t xml:space="preserve">On invested capital</t>
  </si>
  <si>
    <t xml:space="preserve">Carried Interest</t>
  </si>
  <si>
    <t xml:space="preserve">Above hurdle</t>
  </si>
  <si>
    <t xml:space="preserve">Preferred Return</t>
  </si>
  <si>
    <t xml:space="preserve">Compound annual</t>
  </si>
  <si>
    <t xml:space="preserve">Portfolio NAV</t>
  </si>
  <si>
    <t xml:space="preserve">NAV roll-forward</t>
  </si>
  <si>
    <t xml:space="preserve">Year</t>
  </si>
  <si>
    <t xml:space="preserve">NAV Roll-Forward</t>
  </si>
  <si>
    <t xml:space="preserve">Opening NAV</t>
  </si>
  <si>
    <t xml:space="preserve">Appreciation</t>
  </si>
  <si>
    <t xml:space="preserve">Realisations</t>
  </si>
  <si>
    <t xml:space="preserve">Write-Downs</t>
  </si>
  <si>
    <t xml:space="preserve">Closing NAV</t>
  </si>
  <si>
    <t xml:space="preserve">Cumulative</t>
  </si>
  <si>
    <t xml:space="preserve">Cumul Realisations</t>
  </si>
  <si>
    <t xml:space="preserve">Cumul Write-Downs</t>
  </si>
  <si>
    <t xml:space="preserve">Opening Unfunded</t>
  </si>
  <si>
    <t xml:space="preserve">Capital Called</t>
  </si>
  <si>
    <t xml:space="preserve">Closing Unfunded</t>
  </si>
  <si>
    <t xml:space="preserve">Cash Flows</t>
  </si>
  <si>
    <t xml:space="preserve">Buyer cash flows</t>
  </si>
  <si>
    <t xml:space="preserve">Cash Outflows</t>
  </si>
  <si>
    <t xml:space="preserve">Unfunded Calls</t>
  </si>
  <si>
    <t xml:space="preserve">TOTAL OUTFLOWS</t>
  </si>
  <si>
    <t xml:space="preserve">Cash Inflows</t>
  </si>
  <si>
    <t xml:space="preserve">Distributions</t>
  </si>
  <si>
    <t xml:space="preserve">Debt Proceeds</t>
  </si>
  <si>
    <t xml:space="preserve">TOTAL INFLOWS</t>
  </si>
  <si>
    <t xml:space="preserve">Ongoing Costs</t>
  </si>
  <si>
    <t xml:space="preserve">Management Fees</t>
  </si>
  <si>
    <t xml:space="preserve">Interest Expense</t>
  </si>
  <si>
    <t xml:space="preserve">Debt Repayment</t>
  </si>
  <si>
    <t xml:space="preserve">TOTAL COSTS</t>
  </si>
  <si>
    <t xml:space="preserve">Net Cash Flow</t>
  </si>
  <si>
    <t xml:space="preserve">NET CASH FLOW</t>
  </si>
  <si>
    <t xml:space="preserve">Cumul Invested</t>
  </si>
  <si>
    <t xml:space="preserve">Cumul Distributions</t>
  </si>
  <si>
    <t xml:space="preserve">Cumul Net Cash Flow</t>
  </si>
  <si>
    <t xml:space="preserve">Debt facility</t>
  </si>
  <si>
    <t xml:space="preserve">Facility Balance</t>
  </si>
  <si>
    <t xml:space="preserve">Opening Balance</t>
  </si>
  <si>
    <t xml:space="preserve">Drawdown</t>
  </si>
  <si>
    <t xml:space="preserve">Repayment</t>
  </si>
  <si>
    <t xml:space="preserve">Closing Balance</t>
  </si>
  <si>
    <t xml:space="preserve">Interest</t>
  </si>
  <si>
    <t xml:space="preserve">LTV Monitoring</t>
  </si>
  <si>
    <t xml:space="preserve">LTV Ratio</t>
  </si>
  <si>
    <t xml:space="preserve">LTV Check</t>
  </si>
  <si>
    <t xml:space="preserve">IRR, MOIC, DPI, RVPI</t>
  </si>
  <si>
    <t xml:space="preserve">Gross Returns</t>
  </si>
  <si>
    <t xml:space="preserve">Gross Cash Flow</t>
  </si>
  <si>
    <t xml:space="preserve">Residual Value</t>
  </si>
  <si>
    <t xml:space="preserve">Gross Total CF</t>
  </si>
  <si>
    <t xml:space="preserve">Gross Multiples</t>
  </si>
  <si>
    <t xml:space="preserve">Gross MOIC</t>
  </si>
  <si>
    <t xml:space="preserve">DPI</t>
  </si>
  <si>
    <t xml:space="preserve">RVPI</t>
  </si>
  <si>
    <t xml:space="preserve">TVPI</t>
  </si>
  <si>
    <t xml:space="preserve">TVPI Check</t>
  </si>
  <si>
    <t xml:space="preserve">Gross IRR</t>
  </si>
  <si>
    <t xml:space="preserve">Entry Discount</t>
  </si>
  <si>
    <t xml:space="preserve">Carry &amp; Hurdle</t>
  </si>
  <si>
    <t xml:space="preserve">Cumul Hurdle Amount</t>
  </si>
  <si>
    <t xml:space="preserve">Cumul Carry</t>
  </si>
  <si>
    <t xml:space="preserve">Period Carry</t>
  </si>
  <si>
    <t xml:space="preserve">Net Returns</t>
  </si>
  <si>
    <t xml:space="preserve">Net Residual Value</t>
  </si>
  <si>
    <t xml:space="preserve">Net Total CF</t>
  </si>
  <si>
    <t xml:space="preserve">Net Multiples &amp; IRR</t>
  </si>
  <si>
    <t xml:space="preserve">Net MOIC</t>
  </si>
  <si>
    <t xml:space="preserve">Net IRR</t>
  </si>
  <si>
    <t xml:space="preserve">vs Targets</t>
  </si>
  <si>
    <t xml:space="preserve">vs Target MOIC</t>
  </si>
  <si>
    <t xml:space="preserve">vs Target Gross IRR</t>
  </si>
  <si>
    <t xml:space="preserve">vs Target Net IRR</t>
  </si>
  <si>
    <t xml:space="preserve">Validation Checks</t>
  </si>
  <si>
    <t xml:space="preserve">Model integrity</t>
  </si>
  <si>
    <t xml:space="preserve">Check</t>
  </si>
  <si>
    <t xml:space="preserve">Result</t>
  </si>
  <si>
    <t xml:space="preserve">NAV Non-Negative</t>
  </si>
  <si>
    <t xml:space="preserve">Closing NAV &gt;= 0 in all periods</t>
  </si>
  <si>
    <t xml:space="preserve">Unfunded Non-Negative</t>
  </si>
  <si>
    <t xml:space="preserve">Closing unfunded &gt;= 0 in all periods</t>
  </si>
  <si>
    <t xml:space="preserve">Distributions Capped</t>
  </si>
  <si>
    <t xml:space="preserve">Realisations never exceed available NAV</t>
  </si>
  <si>
    <t xml:space="preserve">IRR Sign Change</t>
  </si>
  <si>
    <t xml:space="preserve">IRR stream has negative and positive values</t>
  </si>
  <si>
    <t xml:space="preserve">TVPI = DPI + RVPI</t>
  </si>
  <si>
    <t xml:space="preserve">TVPI equals DPI + RVPI in all periods</t>
  </si>
  <si>
    <t xml:space="preserve">LTV Within Cap</t>
  </si>
  <si>
    <t xml:space="preserve">Leverage does not exceed maximum LTV</t>
  </si>
  <si>
    <t xml:space="preserve">Invested Positive</t>
  </si>
  <si>
    <t xml:space="preserve">Total invested capital is positive</t>
  </si>
  <si>
    <t xml:space="preserve">Gross MOIC &gt; 1.0x</t>
  </si>
  <si>
    <t xml:space="preserve">Default assumptions produce profitable investment</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</si>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</sst>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
    <numFmt numFmtId="166" formatCode="0.00%"/>
    <numFmt numFmtId="167" formatCode="0"/>
    <numFmt numFmtId="168" formatCode="0.00\x"/>
    <numFmt numFmtId="169" formatCode="@"/>
    <numFmt numFmtId="170" formatCode="0.000"/>
  </numFmts>
  <fonts count="26">
    <font>
      <sz val="11"/>
      <name val="Arial"/>
      <family val="0"/>
      <charset val="1"/>
    </font>
    <font>
      <sz val="10"/>
      <name val="Arial"/>
      <family val="0"/>
    </font>
    <font>
      <sz val="10"/>
      <name val="Arial"/>
      <family val="0"/>
    </font>
    <font>
      <sz val="10"/>
      <name val="Arial"/>
      <family val="0"/>
    </font>
    <font>
      <sz val="11"/>
      <color theme="0"/>
      <name val="Calibri"/>
      <family val="0"/>
      <charset val="1"/>
    </font>
    <font>
      <sz val="11"/>
      <color theme="0"/>
      <name val="Arial"/>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b val="true"/>
      <sz val="11"/>
      <color theme="3"/>
      <name val="Arial"/>
      <family val="0"/>
      <charset val="1"/>
    </font>
    <font>
      <sz val="11"/>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left" vertical="bottom"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18"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5" fontId="19" fillId="5" borderId="0" xfId="0" applyFont="true" applyBorder="false" applyAlignment="true" applyProtection="false">
      <alignment horizontal="right" vertical="bottom" textRotation="0" wrapText="false" indent="0" shrinkToFit="false"/>
      <protection locked="true" hidden="false"/>
    </xf>
    <xf numFmtId="166" fontId="19" fillId="5" borderId="0" xfId="0" applyFont="true" applyBorder="false" applyAlignment="true" applyProtection="false">
      <alignment horizontal="righ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7" fontId="19" fillId="5" borderId="0" xfId="0" applyFont="true" applyBorder="false" applyAlignment="true" applyProtection="false">
      <alignment horizontal="right" vertical="bottom" textRotation="0" wrapText="false" indent="0" shrinkToFit="false"/>
      <protection locked="true" hidden="false"/>
    </xf>
    <xf numFmtId="168" fontId="19" fillId="5" borderId="0" xfId="0" applyFont="true" applyBorder="false" applyAlignment="true" applyProtection="false">
      <alignment horizontal="right"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4" fontId="18" fillId="4"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3" min="3" style="0" width="42"/>
    <col collapsed="false" customWidth="true" hidden="false" outlineLevel="0" max="4" min="4" style="0" width="14"/>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0</v>
      </c>
      <c r="C2" s="2"/>
      <c r="D2" s="4"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c r="D4" s="6"/>
    </row>
    <row r="5" customFormat="false" ht="15" hidden="false" customHeight="false" outlineLevel="0" collapsed="false">
      <c r="B5" s="7" t="s">
        <v>3</v>
      </c>
      <c r="C5" s="7" t="s">
        <v>4</v>
      </c>
      <c r="D5" s="7" t="s">
        <v>5</v>
      </c>
    </row>
    <row r="6" customFormat="false" ht="15" hidden="false" customHeight="false" outlineLevel="0" collapsed="false">
      <c r="B6" s="8" t="s">
        <v>6</v>
      </c>
      <c r="C6" s="8" t="s">
        <v>7</v>
      </c>
      <c r="D6" s="9" t="s">
        <v>8</v>
      </c>
    </row>
    <row r="7" customFormat="false" ht="15" hidden="false" customHeight="false" outlineLevel="0" collapsed="false">
      <c r="B7" s="8" t="s">
        <v>9</v>
      </c>
      <c r="C7" s="8" t="s">
        <v>10</v>
      </c>
      <c r="D7" s="9" t="s">
        <v>11</v>
      </c>
    </row>
    <row r="8" customFormat="false" ht="15" hidden="false" customHeight="false" outlineLevel="0" collapsed="false">
      <c r="B8" s="8" t="s">
        <v>12</v>
      </c>
      <c r="C8" s="8" t="s">
        <v>13</v>
      </c>
      <c r="D8" s="9" t="s">
        <v>14</v>
      </c>
    </row>
    <row r="9" customFormat="false" ht="15" hidden="false" customHeight="false" outlineLevel="0" collapsed="false">
      <c r="B9" s="8" t="s">
        <v>15</v>
      </c>
      <c r="C9" s="8" t="s">
        <v>16</v>
      </c>
      <c r="D9" s="9" t="s">
        <v>14</v>
      </c>
    </row>
    <row r="10" customFormat="false" ht="15" hidden="false" customHeight="false" outlineLevel="0" collapsed="false">
      <c r="B10" s="8" t="s">
        <v>17</v>
      </c>
      <c r="C10" s="8" t="s">
        <v>18</v>
      </c>
      <c r="D10" s="9" t="s">
        <v>19</v>
      </c>
    </row>
    <row r="11" customFormat="false" ht="15" hidden="false" customHeight="false" outlineLevel="0" collapsed="false">
      <c r="B11" s="8" t="s">
        <v>20</v>
      </c>
      <c r="C11" s="8" t="s">
        <v>21</v>
      </c>
      <c r="D11" s="9" t="s">
        <v>22</v>
      </c>
    </row>
    <row r="12" customFormat="false" ht="15" hidden="false" customHeight="false" outlineLevel="0" collapsed="false">
      <c r="B12" s="8" t="s">
        <v>23</v>
      </c>
      <c r="C12" s="8" t="s">
        <v>24</v>
      </c>
      <c r="D12" s="9" t="s">
        <v>22</v>
      </c>
    </row>
    <row r="13" customFormat="false" ht="15" hidden="false" customHeight="false" outlineLevel="0" collapsed="false">
      <c r="B13" s="6"/>
      <c r="C13" s="6"/>
      <c r="D13" s="6"/>
    </row>
    <row r="14" customFormat="false" ht="15" hidden="false" customHeight="false" outlineLevel="0" collapsed="false">
      <c r="B14" s="8" t="s">
        <v>25</v>
      </c>
      <c r="C14" s="9" t="s">
        <v>26</v>
      </c>
      <c r="D14" s="6"/>
    </row>
    <row r="17" customFormat="false" ht="19.5" hidden="false" customHeight="true" outlineLevel="0" collapsed="false">
      <c r="B17" s="10" t="s">
        <v>27</v>
      </c>
      <c r="C17" s="11"/>
      <c r="D17" s="11"/>
      <c r="E17" s="11"/>
      <c r="F17" s="11"/>
      <c r="G17" s="11"/>
    </row>
    <row r="18" customFormat="false" ht="195.75" hidden="false" customHeight="true" outlineLevel="0" collapsed="false">
      <c r="B18" s="12" t="s">
        <v>28</v>
      </c>
      <c r="C18" s="12"/>
      <c r="D18" s="12"/>
      <c r="E18" s="12"/>
      <c r="F18" s="12"/>
      <c r="G18" s="12"/>
    </row>
    <row r="20" customFormat="false" ht="19.5" hidden="false" customHeight="true" outlineLevel="0" collapsed="false">
      <c r="B20" s="10" t="s">
        <v>29</v>
      </c>
      <c r="C20" s="11"/>
      <c r="D20" s="11"/>
      <c r="E20" s="11"/>
      <c r="F20" s="11"/>
      <c r="G20" s="11"/>
    </row>
    <row r="21" customFormat="false" ht="57" hidden="false" customHeight="true" outlineLevel="0" collapsed="false">
      <c r="B21" s="12" t="s">
        <v>30</v>
      </c>
      <c r="C21" s="12"/>
      <c r="D21" s="12"/>
      <c r="E21" s="12"/>
      <c r="F21" s="12"/>
      <c r="G21" s="12"/>
    </row>
    <row r="22" customFormat="false" ht="15" hidden="false" customHeight="false" outlineLevel="0" collapsed="false">
      <c r="B22" s="13" t="s">
        <v>31</v>
      </c>
      <c r="C22" s="13"/>
      <c r="D22" s="13"/>
      <c r="E22" s="13"/>
      <c r="F22" s="13"/>
      <c r="G22" s="13"/>
    </row>
    <row r="23" customFormat="false" ht="15" hidden="false" customHeight="false" outlineLevel="0" collapsed="false">
      <c r="B23" s="14" t="s">
        <v>32</v>
      </c>
    </row>
  </sheetData>
  <mergeCells count="3">
    <mergeCell ref="B18:G18"/>
    <mergeCell ref="B21:G21"/>
    <mergeCell ref="B22:G2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4"/>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2"/>
      <c r="C1" s="2"/>
      <c r="D1" s="2"/>
      <c r="E1" s="2"/>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9</v>
      </c>
      <c r="C2" s="2"/>
      <c r="D2" s="2"/>
      <c r="E2" s="2"/>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33</v>
      </c>
      <c r="C3" s="2"/>
      <c r="D3" s="2"/>
      <c r="E3" s="2"/>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34</v>
      </c>
      <c r="C4" s="16" t="s">
        <v>35</v>
      </c>
      <c r="D4" s="16" t="s">
        <v>36</v>
      </c>
      <c r="E4" s="16" t="s">
        <v>37</v>
      </c>
    </row>
    <row r="5" customFormat="false" ht="15" hidden="false" customHeight="false" outlineLevel="0" collapsed="false">
      <c r="B5" s="17" t="s">
        <v>38</v>
      </c>
      <c r="C5" s="18"/>
      <c r="D5" s="18"/>
      <c r="E5" s="18"/>
    </row>
    <row r="6" customFormat="false" ht="15" hidden="false" customHeight="false" outlineLevel="0" collapsed="false">
      <c r="B6" s="8" t="s">
        <v>39</v>
      </c>
      <c r="C6" s="19" t="n">
        <v>100</v>
      </c>
      <c r="D6" s="9" t="s">
        <v>40</v>
      </c>
      <c r="E6" s="9" t="s">
        <v>41</v>
      </c>
    </row>
    <row r="7" customFormat="false" ht="15" hidden="false" customHeight="false" outlineLevel="0" collapsed="false">
      <c r="B7" s="8" t="s">
        <v>42</v>
      </c>
      <c r="C7" s="20" t="n">
        <v>0.15</v>
      </c>
      <c r="D7" s="9" t="s">
        <v>43</v>
      </c>
      <c r="E7" s="9" t="s">
        <v>44</v>
      </c>
    </row>
    <row r="8" customFormat="false" ht="15" hidden="false" customHeight="false" outlineLevel="0" collapsed="false">
      <c r="B8" s="8" t="s">
        <v>45</v>
      </c>
      <c r="C8" s="21" t="n">
        <f aca="false">C6*(1-C7)</f>
        <v>85</v>
      </c>
      <c r="D8" s="9" t="s">
        <v>40</v>
      </c>
      <c r="E8" s="9" t="s">
        <v>46</v>
      </c>
    </row>
    <row r="9" customFormat="false" ht="15" hidden="false" customHeight="false" outlineLevel="0" collapsed="false">
      <c r="B9" s="8" t="s">
        <v>47</v>
      </c>
      <c r="C9" s="19" t="n">
        <v>15</v>
      </c>
      <c r="D9" s="9" t="s">
        <v>40</v>
      </c>
      <c r="E9" s="9" t="s">
        <v>48</v>
      </c>
    </row>
    <row r="10" customFormat="false" ht="15" hidden="false" customHeight="false" outlineLevel="0" collapsed="false">
      <c r="B10" s="8" t="s">
        <v>49</v>
      </c>
      <c r="C10" s="22" t="n">
        <v>6</v>
      </c>
      <c r="D10" s="9" t="s">
        <v>50</v>
      </c>
      <c r="E10" s="9" t="s">
        <v>51</v>
      </c>
    </row>
    <row r="11" customFormat="false" ht="15" hidden="false" customHeight="false" outlineLevel="0" collapsed="false">
      <c r="B11" s="6"/>
      <c r="C11" s="6"/>
      <c r="D11" s="6"/>
      <c r="E11" s="6"/>
    </row>
    <row r="12" customFormat="false" ht="15" hidden="false" customHeight="false" outlineLevel="0" collapsed="false">
      <c r="B12" s="6"/>
      <c r="C12" s="6"/>
      <c r="D12" s="6"/>
      <c r="E12" s="6"/>
    </row>
    <row r="13" customFormat="false" ht="15" hidden="false" customHeight="false" outlineLevel="0" collapsed="false">
      <c r="B13" s="17" t="s">
        <v>52</v>
      </c>
      <c r="C13" s="18"/>
      <c r="D13" s="18"/>
      <c r="E13" s="18"/>
    </row>
    <row r="14" customFormat="false" ht="15" hidden="false" customHeight="false" outlineLevel="0" collapsed="false">
      <c r="B14" s="8" t="s">
        <v>53</v>
      </c>
      <c r="C14" s="20" t="n">
        <v>0.08</v>
      </c>
      <c r="D14" s="9" t="s">
        <v>54</v>
      </c>
      <c r="E14" s="9" t="s">
        <v>55</v>
      </c>
    </row>
    <row r="15" customFormat="false" ht="15" hidden="false" customHeight="false" outlineLevel="0" collapsed="false">
      <c r="B15" s="8" t="s">
        <v>56</v>
      </c>
      <c r="C15" s="20" t="n">
        <v>0.1</v>
      </c>
      <c r="D15" s="9" t="s">
        <v>43</v>
      </c>
      <c r="E15" s="9" t="s">
        <v>57</v>
      </c>
    </row>
    <row r="16" customFormat="false" ht="15" hidden="false" customHeight="false" outlineLevel="0" collapsed="false">
      <c r="B16" s="8" t="s">
        <v>58</v>
      </c>
      <c r="C16" s="20" t="n">
        <v>0.2</v>
      </c>
      <c r="D16" s="9" t="s">
        <v>43</v>
      </c>
      <c r="E16" s="9" t="s">
        <v>59</v>
      </c>
    </row>
    <row r="17" customFormat="false" ht="15" hidden="false" customHeight="false" outlineLevel="0" collapsed="false">
      <c r="B17" s="8" t="s">
        <v>60</v>
      </c>
      <c r="C17" s="20" t="n">
        <v>0.25</v>
      </c>
      <c r="D17" s="9" t="s">
        <v>43</v>
      </c>
      <c r="E17" s="9" t="s">
        <v>59</v>
      </c>
    </row>
    <row r="18" customFormat="false" ht="15" hidden="false" customHeight="false" outlineLevel="0" collapsed="false">
      <c r="B18" s="8" t="s">
        <v>61</v>
      </c>
      <c r="C18" s="20" t="n">
        <v>0.2</v>
      </c>
      <c r="D18" s="9" t="s">
        <v>43</v>
      </c>
      <c r="E18" s="9" t="s">
        <v>62</v>
      </c>
    </row>
    <row r="19" customFormat="false" ht="15" hidden="false" customHeight="false" outlineLevel="0" collapsed="false">
      <c r="B19" s="8" t="s">
        <v>63</v>
      </c>
      <c r="C19" s="20" t="n">
        <v>0.15</v>
      </c>
      <c r="D19" s="9" t="s">
        <v>43</v>
      </c>
      <c r="E19" s="9" t="s">
        <v>62</v>
      </c>
    </row>
    <row r="20" customFormat="false" ht="15" hidden="false" customHeight="false" outlineLevel="0" collapsed="false">
      <c r="B20" s="8" t="s">
        <v>64</v>
      </c>
      <c r="C20" s="20" t="n">
        <v>0.1</v>
      </c>
      <c r="D20" s="9" t="s">
        <v>43</v>
      </c>
      <c r="E20" s="9" t="s">
        <v>65</v>
      </c>
    </row>
    <row r="21" customFormat="false" ht="15" hidden="false" customHeight="false" outlineLevel="0" collapsed="false">
      <c r="B21" s="8" t="s">
        <v>66</v>
      </c>
      <c r="C21" s="20" t="n">
        <v>0.05</v>
      </c>
      <c r="D21" s="9" t="s">
        <v>43</v>
      </c>
      <c r="E21" s="9" t="s">
        <v>67</v>
      </c>
    </row>
    <row r="22" customFormat="false" ht="15" hidden="false" customHeight="false" outlineLevel="0" collapsed="false">
      <c r="B22" s="8" t="s">
        <v>68</v>
      </c>
      <c r="C22" s="20" t="n">
        <v>0.03</v>
      </c>
      <c r="D22" s="9" t="s">
        <v>54</v>
      </c>
      <c r="E22" s="9" t="s">
        <v>69</v>
      </c>
    </row>
    <row r="23" customFormat="false" ht="15" hidden="false" customHeight="false" outlineLevel="0" collapsed="false">
      <c r="B23" s="6"/>
      <c r="C23" s="6"/>
      <c r="D23" s="6"/>
      <c r="E23" s="6"/>
    </row>
    <row r="24" customFormat="false" ht="15" hidden="false" customHeight="false" outlineLevel="0" collapsed="false">
      <c r="B24" s="17" t="s">
        <v>70</v>
      </c>
      <c r="C24" s="18"/>
      <c r="D24" s="18"/>
      <c r="E24" s="18"/>
    </row>
    <row r="25" customFormat="false" ht="15" hidden="false" customHeight="false" outlineLevel="0" collapsed="false">
      <c r="B25" s="8" t="s">
        <v>71</v>
      </c>
      <c r="C25" s="20" t="n">
        <v>0.4</v>
      </c>
      <c r="D25" s="9" t="s">
        <v>43</v>
      </c>
      <c r="E25" s="9" t="s">
        <v>72</v>
      </c>
    </row>
    <row r="26" customFormat="false" ht="15" hidden="false" customHeight="false" outlineLevel="0" collapsed="false">
      <c r="B26" s="8" t="s">
        <v>73</v>
      </c>
      <c r="C26" s="20" t="n">
        <v>0.35</v>
      </c>
      <c r="D26" s="9" t="s">
        <v>43</v>
      </c>
      <c r="E26" s="9" t="s">
        <v>74</v>
      </c>
    </row>
    <row r="27" customFormat="false" ht="15" hidden="false" customHeight="false" outlineLevel="0" collapsed="false">
      <c r="B27" s="8" t="s">
        <v>75</v>
      </c>
      <c r="C27" s="20" t="n">
        <v>0.25</v>
      </c>
      <c r="D27" s="9" t="s">
        <v>43</v>
      </c>
      <c r="E27" s="9" t="s">
        <v>76</v>
      </c>
    </row>
    <row r="28" customFormat="false" ht="15" hidden="false" customHeight="false" outlineLevel="0" collapsed="false">
      <c r="B28" s="6"/>
      <c r="C28" s="6"/>
      <c r="D28" s="6"/>
      <c r="E28" s="6"/>
    </row>
    <row r="29" customFormat="false" ht="15" hidden="false" customHeight="false" outlineLevel="0" collapsed="false">
      <c r="B29" s="17" t="s">
        <v>77</v>
      </c>
      <c r="C29" s="18"/>
      <c r="D29" s="18"/>
      <c r="E29" s="18"/>
    </row>
    <row r="30" customFormat="false" ht="15" hidden="false" customHeight="false" outlineLevel="0" collapsed="false">
      <c r="B30" s="8" t="s">
        <v>78</v>
      </c>
      <c r="C30" s="20" t="n">
        <v>0.01</v>
      </c>
      <c r="D30" s="9" t="s">
        <v>43</v>
      </c>
      <c r="E30" s="9" t="s">
        <v>79</v>
      </c>
    </row>
    <row r="31" customFormat="false" ht="15" hidden="false" customHeight="false" outlineLevel="0" collapsed="false">
      <c r="B31" s="8" t="s">
        <v>80</v>
      </c>
      <c r="C31" s="20" t="n">
        <v>0.005</v>
      </c>
      <c r="D31" s="9" t="s">
        <v>43</v>
      </c>
      <c r="E31" s="9" t="s">
        <v>81</v>
      </c>
    </row>
    <row r="32" customFormat="false" ht="15" hidden="false" customHeight="false" outlineLevel="0" collapsed="false">
      <c r="B32" s="8" t="s">
        <v>82</v>
      </c>
      <c r="C32" s="20" t="n">
        <v>0.01</v>
      </c>
      <c r="D32" s="9" t="s">
        <v>43</v>
      </c>
      <c r="E32" s="9" t="s">
        <v>83</v>
      </c>
    </row>
    <row r="33" customFormat="false" ht="15" hidden="false" customHeight="false" outlineLevel="0" collapsed="false">
      <c r="B33" s="6"/>
      <c r="C33" s="6"/>
      <c r="D33" s="6"/>
      <c r="E33" s="6"/>
    </row>
    <row r="34" customFormat="false" ht="15" hidden="false" customHeight="false" outlineLevel="0" collapsed="false">
      <c r="B34" s="17" t="s">
        <v>84</v>
      </c>
      <c r="C34" s="18"/>
      <c r="D34" s="18"/>
      <c r="E34" s="18"/>
    </row>
    <row r="35" customFormat="false" ht="15" hidden="false" customHeight="false" outlineLevel="0" collapsed="false">
      <c r="B35" s="8" t="s">
        <v>85</v>
      </c>
      <c r="C35" s="22" t="n">
        <v>1</v>
      </c>
      <c r="D35" s="9"/>
      <c r="E35" s="9" t="s">
        <v>86</v>
      </c>
    </row>
    <row r="36" customFormat="false" ht="15" hidden="false" customHeight="false" outlineLevel="0" collapsed="false">
      <c r="B36" s="8" t="s">
        <v>87</v>
      </c>
      <c r="C36" s="20" t="n">
        <v>0.3</v>
      </c>
      <c r="D36" s="9" t="s">
        <v>43</v>
      </c>
      <c r="E36" s="9" t="s">
        <v>88</v>
      </c>
    </row>
    <row r="37" customFormat="false" ht="15" hidden="false" customHeight="false" outlineLevel="0" collapsed="false">
      <c r="B37" s="8" t="s">
        <v>89</v>
      </c>
      <c r="C37" s="20" t="n">
        <v>0.065</v>
      </c>
      <c r="D37" s="9" t="s">
        <v>43</v>
      </c>
      <c r="E37" s="9" t="s">
        <v>90</v>
      </c>
    </row>
    <row r="38" customFormat="false" ht="15" hidden="false" customHeight="false" outlineLevel="0" collapsed="false">
      <c r="B38" s="8" t="s">
        <v>91</v>
      </c>
      <c r="C38" s="20" t="n">
        <v>0.5</v>
      </c>
      <c r="D38" s="9" t="s">
        <v>43</v>
      </c>
      <c r="E38" s="9" t="s">
        <v>92</v>
      </c>
    </row>
    <row r="39" customFormat="false" ht="15" hidden="false" customHeight="false" outlineLevel="0" collapsed="false">
      <c r="B39" s="6"/>
      <c r="C39" s="6"/>
      <c r="D39" s="6"/>
      <c r="E39" s="6"/>
    </row>
    <row r="40" customFormat="false" ht="15" hidden="false" customHeight="false" outlineLevel="0" collapsed="false">
      <c r="B40" s="17" t="s">
        <v>93</v>
      </c>
      <c r="C40" s="18"/>
      <c r="D40" s="18"/>
      <c r="E40" s="18"/>
    </row>
    <row r="41" customFormat="false" ht="15" hidden="false" customHeight="false" outlineLevel="0" collapsed="false">
      <c r="B41" s="8" t="s">
        <v>94</v>
      </c>
      <c r="C41" s="20" t="n">
        <v>0.15</v>
      </c>
      <c r="D41" s="9" t="s">
        <v>43</v>
      </c>
      <c r="E41" s="9" t="s">
        <v>95</v>
      </c>
    </row>
    <row r="42" customFormat="false" ht="15" hidden="false" customHeight="false" outlineLevel="0" collapsed="false">
      <c r="B42" s="8" t="s">
        <v>96</v>
      </c>
      <c r="C42" s="23" t="n">
        <v>1.6</v>
      </c>
      <c r="D42" s="9" t="s">
        <v>97</v>
      </c>
      <c r="E42" s="9" t="s">
        <v>98</v>
      </c>
    </row>
    <row r="43" customFormat="false" ht="15" hidden="false" customHeight="false" outlineLevel="0" collapsed="false">
      <c r="B43" s="8" t="s">
        <v>99</v>
      </c>
      <c r="C43" s="20" t="n">
        <v>0.18</v>
      </c>
      <c r="D43" s="9" t="s">
        <v>43</v>
      </c>
      <c r="E43" s="9" t="s">
        <v>98</v>
      </c>
    </row>
    <row r="44" customFormat="false" ht="15" hidden="false" customHeight="false" outlineLevel="0" collapsed="false">
      <c r="B44" s="8" t="s">
        <v>100</v>
      </c>
      <c r="C44" s="20" t="n">
        <v>0.15</v>
      </c>
      <c r="D44" s="9" t="s">
        <v>43</v>
      </c>
      <c r="E44" s="9" t="s">
        <v>101</v>
      </c>
    </row>
    <row r="45" customFormat="false" ht="15" hidden="false" customHeight="false" outlineLevel="0" collapsed="false">
      <c r="B45" s="6"/>
      <c r="C45" s="6"/>
      <c r="D45" s="6"/>
      <c r="E45" s="6"/>
    </row>
    <row r="46" customFormat="false" ht="15" hidden="false" customHeight="false" outlineLevel="0" collapsed="false">
      <c r="B46" s="17" t="s">
        <v>102</v>
      </c>
      <c r="C46" s="18"/>
      <c r="D46" s="18"/>
      <c r="E46" s="18"/>
    </row>
    <row r="47" customFormat="false" ht="15" hidden="false" customHeight="false" outlineLevel="0" collapsed="false">
      <c r="B47" s="8" t="s">
        <v>103</v>
      </c>
      <c r="C47" s="20" t="n">
        <v>0.0125</v>
      </c>
      <c r="D47" s="9" t="s">
        <v>43</v>
      </c>
      <c r="E47" s="9" t="s">
        <v>104</v>
      </c>
    </row>
    <row r="48" customFormat="false" ht="15" hidden="false" customHeight="false" outlineLevel="0" collapsed="false">
      <c r="B48" s="8" t="s">
        <v>105</v>
      </c>
      <c r="C48" s="20" t="n">
        <v>0.15</v>
      </c>
      <c r="D48" s="9" t="s">
        <v>43</v>
      </c>
      <c r="E48" s="9" t="s">
        <v>106</v>
      </c>
    </row>
    <row r="49" customFormat="false" ht="15" hidden="false" customHeight="false" outlineLevel="0" collapsed="false">
      <c r="B49" s="8" t="s">
        <v>107</v>
      </c>
      <c r="C49" s="20" t="n">
        <v>0.08</v>
      </c>
      <c r="D49" s="9" t="s">
        <v>43</v>
      </c>
      <c r="E49" s="9" t="s">
        <v>108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4"/>
  </cols>
  <sheetData>
    <row r="1" customFormat="false" ht="15" hidden="false" customHeight="false" outlineLevel="0" collapsed="false">
      <c r="A1" s="1"/>
      <c r="B1" s="2"/>
      <c r="C1" s="2"/>
      <c r="D1" s="2"/>
      <c r="E1" s="2"/>
      <c r="F1" s="2"/>
      <c r="G1" s="2"/>
      <c r="H1" s="2"/>
      <c r="I1" s="2"/>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109</v>
      </c>
      <c r="C2" s="2"/>
      <c r="D2" s="2"/>
      <c r="E2" s="2"/>
      <c r="F2" s="2"/>
      <c r="G2" s="2"/>
      <c r="H2" s="2"/>
      <c r="I2" s="2"/>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110</v>
      </c>
      <c r="C3" s="2"/>
      <c r="D3" s="2"/>
      <c r="E3" s="2"/>
      <c r="F3" s="2"/>
      <c r="G3" s="2"/>
      <c r="H3" s="2"/>
      <c r="I3" s="2"/>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111</v>
      </c>
      <c r="C4" s="24" t="n">
        <v>0</v>
      </c>
      <c r="D4" s="24" t="n">
        <v>1</v>
      </c>
      <c r="E4" s="24" t="n">
        <v>2</v>
      </c>
      <c r="F4" s="24" t="n">
        <v>3</v>
      </c>
      <c r="G4" s="24" t="n">
        <v>4</v>
      </c>
      <c r="H4" s="24" t="n">
        <v>5</v>
      </c>
      <c r="I4" s="24" t="n">
        <v>6</v>
      </c>
    </row>
    <row r="5" customFormat="false" ht="15" hidden="false" customHeight="false" outlineLevel="0" collapsed="false">
      <c r="B5" s="6"/>
      <c r="C5" s="6"/>
      <c r="D5" s="6"/>
      <c r="E5" s="6"/>
      <c r="F5" s="6"/>
      <c r="G5" s="6"/>
      <c r="H5" s="6"/>
      <c r="I5" s="6"/>
    </row>
    <row r="6" customFormat="false" ht="15" hidden="false" customHeight="false" outlineLevel="0" collapsed="false">
      <c r="B6" s="25" t="s">
        <v>112</v>
      </c>
      <c r="C6" s="18"/>
      <c r="D6" s="18"/>
      <c r="E6" s="18"/>
      <c r="F6" s="18"/>
      <c r="G6" s="18"/>
      <c r="H6" s="18"/>
      <c r="I6" s="18"/>
    </row>
    <row r="7" customFormat="false" ht="15" hidden="false" customHeight="false" outlineLevel="0" collapsed="false">
      <c r="B7" s="8" t="s">
        <v>113</v>
      </c>
      <c r="C7" s="21" t="n">
        <f aca="false">Reported_NAV</f>
        <v>100</v>
      </c>
      <c r="D7" s="21" t="n">
        <f aca="false">C11</f>
        <v>100</v>
      </c>
      <c r="E7" s="21" t="n">
        <f aca="false">D11</f>
        <v>95</v>
      </c>
      <c r="F7" s="21" t="n">
        <f aca="false">E11</f>
        <v>80.75</v>
      </c>
      <c r="G7" s="21" t="n">
        <f aca="false">F11</f>
        <v>64.6</v>
      </c>
      <c r="H7" s="21" t="n">
        <f aca="false">G11</f>
        <v>54.91</v>
      </c>
      <c r="I7" s="21" t="n">
        <f aca="false">H11</f>
        <v>49.419</v>
      </c>
    </row>
    <row r="8" customFormat="false" ht="15" hidden="false" customHeight="false" outlineLevel="0" collapsed="false">
      <c r="B8" s="26" t="s">
        <v>114</v>
      </c>
      <c r="C8" s="21" t="n">
        <f aca="false">0</f>
        <v>0</v>
      </c>
      <c r="D8" s="21" t="n">
        <f aca="false">D7*NAV_Apprec_Rate</f>
        <v>8</v>
      </c>
      <c r="E8" s="21" t="n">
        <f aca="false">E7*NAV_Apprec_Rate</f>
        <v>7.6</v>
      </c>
      <c r="F8" s="21" t="n">
        <f aca="false">F7*NAV_Apprec_Rate</f>
        <v>6.46</v>
      </c>
      <c r="G8" s="21" t="n">
        <f aca="false">G7*NAV_Apprec_Rate</f>
        <v>5.168</v>
      </c>
      <c r="H8" s="21" t="n">
        <f aca="false">H7*NAV_Apprec_Rate</f>
        <v>4.3928</v>
      </c>
      <c r="I8" s="21" t="n">
        <f aca="false">I7*NAV_Apprec_Rate</f>
        <v>3.95352</v>
      </c>
    </row>
    <row r="9" customFormat="false" ht="15" hidden="false" customHeight="false" outlineLevel="0" collapsed="false">
      <c r="B9" s="26" t="s">
        <v>115</v>
      </c>
      <c r="C9" s="21" t="n">
        <f aca="false">0</f>
        <v>0</v>
      </c>
      <c r="D9" s="21" t="n">
        <f aca="false">MIN(D7*IF(D4=1,Real_Rate_Y1,IF(D4=2,Real_Rate_Y2,IF(D4=3,Real_Rate_Y3,IF(D4=4,Real_Rate_Y4,IF(D4=5,Real_Rate_Y5,IF(D4=6,Real_Rate_Y6,Real_Rate_Y7)))))),D7+D8)</f>
        <v>10</v>
      </c>
      <c r="E9" s="21" t="n">
        <f aca="false">MIN(E7*IF(E4=1,Real_Rate_Y1,IF(E4=2,Real_Rate_Y2,IF(E4=3,Real_Rate_Y3,IF(E4=4,Real_Rate_Y4,IF(E4=5,Real_Rate_Y5,IF(E4=6,Real_Rate_Y6,Real_Rate_Y7)))))),E7+E8)</f>
        <v>19</v>
      </c>
      <c r="F9" s="21" t="n">
        <f aca="false">MIN(F7*IF(F4=1,Real_Rate_Y1,IF(F4=2,Real_Rate_Y2,IF(F4=3,Real_Rate_Y3,IF(F4=4,Real_Rate_Y4,IF(F4=5,Real_Rate_Y5,IF(F4=6,Real_Rate_Y6,Real_Rate_Y7)))))),F7+F8)</f>
        <v>20.1875</v>
      </c>
      <c r="G9" s="21" t="n">
        <f aca="false">MIN(G7*IF(G4=1,Real_Rate_Y1,IF(G4=2,Real_Rate_Y2,IF(G4=3,Real_Rate_Y3,IF(G4=4,Real_Rate_Y4,IF(G4=5,Real_Rate_Y5,IF(G4=6,Real_Rate_Y6,Real_Rate_Y7)))))),G7+G8)</f>
        <v>12.92</v>
      </c>
      <c r="H9" s="21" t="n">
        <f aca="false">MIN(H7*IF(H4=1,Real_Rate_Y1,IF(H4=2,Real_Rate_Y2,IF(H4=3,Real_Rate_Y3,IF(H4=4,Real_Rate_Y4,IF(H4=5,Real_Rate_Y5,IF(H4=6,Real_Rate_Y6,Real_Rate_Y7)))))),H7+H8)</f>
        <v>8.2365</v>
      </c>
      <c r="I9" s="21" t="n">
        <f aca="false">MIN(I7*IF(I4=1,Real_Rate_Y1,IF(I4=2,Real_Rate_Y2,IF(I4=3,Real_Rate_Y3,IF(I4=4,Real_Rate_Y4,IF(I4=5,Real_Rate_Y5,IF(I4=6,Real_Rate_Y6,Real_Rate_Y7)))))),I7+I8)</f>
        <v>4.9419</v>
      </c>
    </row>
    <row r="10" customFormat="false" ht="15" hidden="false" customHeight="false" outlineLevel="0" collapsed="false">
      <c r="B10" s="26" t="s">
        <v>116</v>
      </c>
      <c r="C10" s="21" t="n">
        <f aca="false">0</f>
        <v>0</v>
      </c>
      <c r="D10" s="21" t="n">
        <f aca="false">D7*Writedown_Rate</f>
        <v>3</v>
      </c>
      <c r="E10" s="21" t="n">
        <f aca="false">E7*Writedown_Rate</f>
        <v>2.85</v>
      </c>
      <c r="F10" s="21" t="n">
        <f aca="false">F7*Writedown_Rate</f>
        <v>2.4225</v>
      </c>
      <c r="G10" s="21" t="n">
        <f aca="false">G7*Writedown_Rate</f>
        <v>1.938</v>
      </c>
      <c r="H10" s="21" t="n">
        <f aca="false">H7*Writedown_Rate</f>
        <v>1.6473</v>
      </c>
      <c r="I10" s="21" t="n">
        <f aca="false">I7*Writedown_Rate</f>
        <v>1.48257</v>
      </c>
    </row>
    <row r="11" customFormat="false" ht="15" hidden="false" customHeight="false" outlineLevel="0" collapsed="false">
      <c r="B11" s="27" t="s">
        <v>117</v>
      </c>
      <c r="C11" s="28" t="n">
        <f aca="false">C7</f>
        <v>100</v>
      </c>
      <c r="D11" s="28" t="n">
        <f aca="false">MAX(D7+D8-D9-D10,0)</f>
        <v>95</v>
      </c>
      <c r="E11" s="28" t="n">
        <f aca="false">MAX(E7+E8-E9-E10,0)</f>
        <v>80.75</v>
      </c>
      <c r="F11" s="28" t="n">
        <f aca="false">MAX(F7+F8-F9-F10,0)</f>
        <v>64.6</v>
      </c>
      <c r="G11" s="28" t="n">
        <f aca="false">MAX(G7+G8-G9-G10,0)</f>
        <v>54.91</v>
      </c>
      <c r="H11" s="28" t="n">
        <f aca="false">MAX(H7+H8-H9-H10,0)</f>
        <v>49.419</v>
      </c>
      <c r="I11" s="28" t="n">
        <f aca="false">MAX(I7+I8-I9-I10,0)</f>
        <v>46.94805</v>
      </c>
    </row>
    <row r="12" customFormat="false" ht="15" hidden="false" customHeight="false" outlineLevel="0" collapsed="false">
      <c r="B12" s="25" t="s">
        <v>118</v>
      </c>
      <c r="C12" s="18"/>
      <c r="D12" s="18"/>
      <c r="E12" s="18"/>
      <c r="F12" s="18"/>
      <c r="G12" s="18"/>
      <c r="H12" s="18"/>
      <c r="I12" s="18"/>
    </row>
    <row r="13" customFormat="false" ht="15" hidden="false" customHeight="false" outlineLevel="0" collapsed="false">
      <c r="B13" s="26" t="s">
        <v>119</v>
      </c>
      <c r="C13" s="21" t="n">
        <f aca="false">C9</f>
        <v>0</v>
      </c>
      <c r="D13" s="21" t="n">
        <f aca="false">C13+D9</f>
        <v>10</v>
      </c>
      <c r="E13" s="21" t="n">
        <f aca="false">D13+E9</f>
        <v>29</v>
      </c>
      <c r="F13" s="21" t="n">
        <f aca="false">E13+F9</f>
        <v>49.1875</v>
      </c>
      <c r="G13" s="21" t="n">
        <f aca="false">F13+G9</f>
        <v>62.1075</v>
      </c>
      <c r="H13" s="21" t="n">
        <f aca="false">G13+H9</f>
        <v>70.344</v>
      </c>
      <c r="I13" s="21" t="n">
        <f aca="false">H13+I9</f>
        <v>75.2859</v>
      </c>
    </row>
    <row r="14" customFormat="false" ht="15" hidden="false" customHeight="false" outlineLevel="0" collapsed="false">
      <c r="B14" s="26" t="s">
        <v>120</v>
      </c>
      <c r="C14" s="21" t="n">
        <f aca="false">C10</f>
        <v>0</v>
      </c>
      <c r="D14" s="21" t="n">
        <f aca="false">C14+D10</f>
        <v>3</v>
      </c>
      <c r="E14" s="21" t="n">
        <f aca="false">D14+E10</f>
        <v>5.85</v>
      </c>
      <c r="F14" s="21" t="n">
        <f aca="false">E14+F10</f>
        <v>8.2725</v>
      </c>
      <c r="G14" s="21" t="n">
        <f aca="false">F14+G10</f>
        <v>10.2105</v>
      </c>
      <c r="H14" s="21" t="n">
        <f aca="false">G14+H10</f>
        <v>11.8578</v>
      </c>
      <c r="I14" s="21" t="n">
        <f aca="false">H14+I10</f>
        <v>13.34037</v>
      </c>
    </row>
    <row r="15" customFormat="false" ht="15" hidden="false" customHeight="false" outlineLevel="0" collapsed="false">
      <c r="B15" s="6"/>
      <c r="C15" s="6"/>
      <c r="D15" s="6"/>
      <c r="E15" s="6"/>
      <c r="F15" s="6"/>
      <c r="G15" s="6"/>
      <c r="H15" s="6"/>
      <c r="I15" s="6"/>
    </row>
    <row r="16" customFormat="false" ht="15" hidden="false" customHeight="false" outlineLevel="0" collapsed="false">
      <c r="B16" s="25" t="s">
        <v>47</v>
      </c>
      <c r="C16" s="18"/>
      <c r="D16" s="18"/>
      <c r="E16" s="18"/>
      <c r="F16" s="18"/>
      <c r="G16" s="18"/>
      <c r="H16" s="18"/>
      <c r="I16" s="18"/>
    </row>
    <row r="17" customFormat="false" ht="15" hidden="false" customHeight="false" outlineLevel="0" collapsed="false">
      <c r="B17" s="8" t="s">
        <v>121</v>
      </c>
      <c r="C17" s="21" t="n">
        <f aca="false">Unfunded_Commit</f>
        <v>15</v>
      </c>
      <c r="D17" s="21" t="n">
        <f aca="false">C19</f>
        <v>15</v>
      </c>
      <c r="E17" s="21" t="n">
        <f aca="false">D19</f>
        <v>9</v>
      </c>
      <c r="F17" s="21" t="n">
        <f aca="false">E19</f>
        <v>5.85</v>
      </c>
      <c r="G17" s="21" t="n">
        <f aca="false">F19</f>
        <v>4.3875</v>
      </c>
      <c r="H17" s="21" t="n">
        <f aca="false">G19</f>
        <v>4.3875</v>
      </c>
      <c r="I17" s="21" t="n">
        <f aca="false">H19</f>
        <v>4.3875</v>
      </c>
    </row>
    <row r="18" customFormat="false" ht="15" hidden="false" customHeight="false" outlineLevel="0" collapsed="false">
      <c r="B18" s="26" t="s">
        <v>122</v>
      </c>
      <c r="C18" s="21" t="n">
        <f aca="false">0</f>
        <v>0</v>
      </c>
      <c r="D18" s="21" t="n">
        <f aca="false">MIN(D17*IF(D4=1,Call_Rate_Y1,IF(D4=2,Call_Rate_Y2,IF(D4=3,Call_Rate_Y3,0))),D17)</f>
        <v>6</v>
      </c>
      <c r="E18" s="21" t="n">
        <f aca="false">MIN(E17*IF(E4=1,Call_Rate_Y1,IF(E4=2,Call_Rate_Y2,IF(E4=3,Call_Rate_Y3,0))),E17)</f>
        <v>3.15</v>
      </c>
      <c r="F18" s="21" t="n">
        <f aca="false">MIN(F17*IF(F4=1,Call_Rate_Y1,IF(F4=2,Call_Rate_Y2,IF(F4=3,Call_Rate_Y3,0))),F17)</f>
        <v>1.4625</v>
      </c>
      <c r="G18" s="21" t="n">
        <f aca="false">MIN(G17*IF(G4=1,Call_Rate_Y1,IF(G4=2,Call_Rate_Y2,IF(G4=3,Call_Rate_Y3,0))),G17)</f>
        <v>0</v>
      </c>
      <c r="H18" s="21" t="n">
        <f aca="false">MIN(H17*IF(H4=1,Call_Rate_Y1,IF(H4=2,Call_Rate_Y2,IF(H4=3,Call_Rate_Y3,0))),H17)</f>
        <v>0</v>
      </c>
      <c r="I18" s="21" t="n">
        <f aca="false">MIN(I17*IF(I4=1,Call_Rate_Y1,IF(I4=2,Call_Rate_Y2,IF(I4=3,Call_Rate_Y3,0))),I17)</f>
        <v>0</v>
      </c>
    </row>
    <row r="19" customFormat="false" ht="15" hidden="false" customHeight="false" outlineLevel="0" collapsed="false">
      <c r="B19" s="27" t="s">
        <v>123</v>
      </c>
      <c r="C19" s="28" t="n">
        <f aca="false">MAX(C17-C18,0)</f>
        <v>15</v>
      </c>
      <c r="D19" s="28" t="n">
        <f aca="false">MAX(D17-D18,0)</f>
        <v>9</v>
      </c>
      <c r="E19" s="28" t="n">
        <f aca="false">MAX(E17-E18,0)</f>
        <v>5.85</v>
      </c>
      <c r="F19" s="28" t="n">
        <f aca="false">MAX(F17-F18,0)</f>
        <v>4.3875</v>
      </c>
      <c r="G19" s="28" t="n">
        <f aca="false">MAX(G17-G18,0)</f>
        <v>4.3875</v>
      </c>
      <c r="H19" s="28" t="n">
        <f aca="false">MAX(H17-H18,0)</f>
        <v>4.3875</v>
      </c>
      <c r="I19" s="28" t="n">
        <f aca="false">MAX(I17-I18,0)</f>
        <v>4.3875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4"/>
  </cols>
  <sheetData>
    <row r="1" customFormat="false" ht="15" hidden="false" customHeight="false" outlineLevel="0" collapsed="false">
      <c r="A1" s="1"/>
      <c r="B1" s="2"/>
      <c r="C1" s="2"/>
      <c r="D1" s="2"/>
      <c r="E1" s="2"/>
      <c r="F1" s="2"/>
      <c r="G1" s="2"/>
      <c r="H1" s="2"/>
      <c r="I1" s="2"/>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124</v>
      </c>
      <c r="C2" s="2"/>
      <c r="D2" s="2"/>
      <c r="E2" s="2"/>
      <c r="F2" s="2"/>
      <c r="G2" s="2"/>
      <c r="H2" s="2"/>
      <c r="I2" s="2"/>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125</v>
      </c>
      <c r="C3" s="2"/>
      <c r="D3" s="2"/>
      <c r="E3" s="2"/>
      <c r="F3" s="2"/>
      <c r="G3" s="2"/>
      <c r="H3" s="2"/>
      <c r="I3" s="2"/>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111</v>
      </c>
      <c r="C4" s="24" t="n">
        <v>0</v>
      </c>
      <c r="D4" s="24" t="n">
        <v>1</v>
      </c>
      <c r="E4" s="24" t="n">
        <v>2</v>
      </c>
      <c r="F4" s="24" t="n">
        <v>3</v>
      </c>
      <c r="G4" s="24" t="n">
        <v>4</v>
      </c>
      <c r="H4" s="24" t="n">
        <v>5</v>
      </c>
      <c r="I4" s="24" t="n">
        <v>6</v>
      </c>
    </row>
    <row r="5" customFormat="false" ht="15" hidden="false" customHeight="false" outlineLevel="0" collapsed="false">
      <c r="B5" s="6"/>
      <c r="C5" s="6"/>
      <c r="D5" s="6"/>
      <c r="E5" s="6"/>
      <c r="F5" s="6"/>
      <c r="G5" s="6"/>
      <c r="H5" s="6"/>
      <c r="I5" s="6"/>
    </row>
    <row r="6" customFormat="false" ht="15" hidden="false" customHeight="false" outlineLevel="0" collapsed="false">
      <c r="B6" s="25" t="s">
        <v>126</v>
      </c>
      <c r="C6" s="18"/>
      <c r="D6" s="18"/>
      <c r="E6" s="18"/>
      <c r="F6" s="18"/>
      <c r="G6" s="18"/>
      <c r="H6" s="18"/>
      <c r="I6" s="18"/>
    </row>
    <row r="7" customFormat="false" ht="15" hidden="false" customHeight="false" outlineLevel="0" collapsed="false">
      <c r="B7" s="26" t="s">
        <v>45</v>
      </c>
      <c r="C7" s="21" t="n">
        <f aca="false">-Purchase_Price</f>
        <v>-85</v>
      </c>
      <c r="D7" s="21" t="n">
        <f aca="false">0</f>
        <v>0</v>
      </c>
      <c r="E7" s="21" t="n">
        <f aca="false">0</f>
        <v>0</v>
      </c>
      <c r="F7" s="21" t="n">
        <f aca="false">0</f>
        <v>0</v>
      </c>
      <c r="G7" s="21" t="n">
        <f aca="false">0</f>
        <v>0</v>
      </c>
      <c r="H7" s="21" t="n">
        <f aca="false">0</f>
        <v>0</v>
      </c>
      <c r="I7" s="21" t="n">
        <f aca="false">0</f>
        <v>0</v>
      </c>
    </row>
    <row r="8" customFormat="false" ht="15" hidden="false" customHeight="false" outlineLevel="0" collapsed="false">
      <c r="B8" s="26" t="s">
        <v>77</v>
      </c>
      <c r="C8" s="21" t="n">
        <f aca="false">-Purchase_Price*(Legal_DD_Pct+Advisory_Fee_Pct+Transfer_Fee_Pct)</f>
        <v>-2.125</v>
      </c>
      <c r="D8" s="21" t="n">
        <f aca="false">0</f>
        <v>0</v>
      </c>
      <c r="E8" s="21" t="n">
        <f aca="false">0</f>
        <v>0</v>
      </c>
      <c r="F8" s="21" t="n">
        <f aca="false">0</f>
        <v>0</v>
      </c>
      <c r="G8" s="21" t="n">
        <f aca="false">0</f>
        <v>0</v>
      </c>
      <c r="H8" s="21" t="n">
        <f aca="false">0</f>
        <v>0</v>
      </c>
      <c r="I8" s="21" t="n">
        <f aca="false">0</f>
        <v>0</v>
      </c>
    </row>
    <row r="9" customFormat="false" ht="15" hidden="false" customHeight="false" outlineLevel="0" collapsed="false">
      <c r="B9" s="26" t="s">
        <v>127</v>
      </c>
      <c r="C9" s="21" t="n">
        <f aca="false">-INDEX(NAV_Unfunded_Call,1,1)</f>
        <v>-0</v>
      </c>
      <c r="D9" s="21" t="n">
        <f aca="false">-INDEX(NAV_Unfunded_Call,1,2)</f>
        <v>-6</v>
      </c>
      <c r="E9" s="21" t="n">
        <f aca="false">-INDEX(NAV_Unfunded_Call,1,3)</f>
        <v>-3.15</v>
      </c>
      <c r="F9" s="21" t="n">
        <f aca="false">-INDEX(NAV_Unfunded_Call,1,4)</f>
        <v>-1.4625</v>
      </c>
      <c r="G9" s="21" t="n">
        <f aca="false">-INDEX(NAV_Unfunded_Call,1,5)</f>
        <v>-0</v>
      </c>
      <c r="H9" s="21" t="n">
        <f aca="false">-INDEX(NAV_Unfunded_Call,1,6)</f>
        <v>-0</v>
      </c>
      <c r="I9" s="21" t="n">
        <f aca="false">-INDEX(NAV_Unfunded_Call,1,7)</f>
        <v>-0</v>
      </c>
    </row>
    <row r="10" customFormat="false" ht="15" hidden="false" customHeight="false" outlineLevel="0" collapsed="false">
      <c r="B10" s="27" t="s">
        <v>128</v>
      </c>
      <c r="C10" s="28" t="n">
        <f aca="false">C7+C8+C9</f>
        <v>-87.125</v>
      </c>
      <c r="D10" s="28" t="n">
        <f aca="false">D7+D8+D9</f>
        <v>-6</v>
      </c>
      <c r="E10" s="28" t="n">
        <f aca="false">E7+E8+E9</f>
        <v>-3.15</v>
      </c>
      <c r="F10" s="28" t="n">
        <f aca="false">F7+F8+F9</f>
        <v>-1.4625</v>
      </c>
      <c r="G10" s="28" t="n">
        <f aca="false">G7+G8+G9</f>
        <v>0</v>
      </c>
      <c r="H10" s="28" t="n">
        <f aca="false">H7+H8+H9</f>
        <v>0</v>
      </c>
      <c r="I10" s="28" t="n">
        <f aca="false">I7+I8+I9</f>
        <v>0</v>
      </c>
    </row>
    <row r="11" customFormat="false" ht="15" hidden="false" customHeight="false" outlineLevel="0" collapsed="false">
      <c r="B11" s="6"/>
      <c r="C11" s="6"/>
      <c r="D11" s="6"/>
      <c r="E11" s="6"/>
      <c r="F11" s="6"/>
      <c r="G11" s="6"/>
      <c r="H11" s="6"/>
      <c r="I11" s="6"/>
    </row>
    <row r="12" customFormat="false" ht="15" hidden="false" customHeight="false" outlineLevel="0" collapsed="false">
      <c r="B12" s="25" t="s">
        <v>129</v>
      </c>
      <c r="C12" s="18"/>
      <c r="D12" s="18"/>
      <c r="E12" s="18"/>
      <c r="F12" s="18"/>
      <c r="G12" s="18"/>
      <c r="H12" s="18"/>
      <c r="I12" s="18"/>
    </row>
    <row r="13" customFormat="false" ht="15" hidden="false" customHeight="false" outlineLevel="0" collapsed="false">
      <c r="B13" s="26" t="s">
        <v>130</v>
      </c>
      <c r="C13" s="21" t="n">
        <f aca="false">INDEX(NAV_Realisations,1,1)</f>
        <v>0</v>
      </c>
      <c r="D13" s="21" t="n">
        <f aca="false">INDEX(NAV_Realisations,1,2)</f>
        <v>10</v>
      </c>
      <c r="E13" s="21" t="n">
        <f aca="false">INDEX(NAV_Realisations,1,3)</f>
        <v>19</v>
      </c>
      <c r="F13" s="21" t="n">
        <f aca="false">INDEX(NAV_Realisations,1,4)</f>
        <v>20.1875</v>
      </c>
      <c r="G13" s="21" t="n">
        <f aca="false">INDEX(NAV_Realisations,1,5)</f>
        <v>12.92</v>
      </c>
      <c r="H13" s="21" t="n">
        <f aca="false">INDEX(NAV_Realisations,1,6)</f>
        <v>8.2365</v>
      </c>
      <c r="I13" s="21" t="n">
        <f aca="false">INDEX(NAV_Realisations,1,7)</f>
        <v>4.9419</v>
      </c>
    </row>
    <row r="14" customFormat="false" ht="15" hidden="false" customHeight="false" outlineLevel="0" collapsed="false">
      <c r="B14" s="26" t="s">
        <v>131</v>
      </c>
      <c r="C14" s="21" t="n">
        <f aca="false">Leverage_Toggle*MIN(Purchase_Price*Max_LTV,Reported_NAV*Max_LTV)</f>
        <v>25.5</v>
      </c>
      <c r="D14" s="21" t="n">
        <f aca="false">0</f>
        <v>0</v>
      </c>
      <c r="E14" s="21" t="n">
        <f aca="false">0</f>
        <v>0</v>
      </c>
      <c r="F14" s="21" t="n">
        <f aca="false">0</f>
        <v>0</v>
      </c>
      <c r="G14" s="21" t="n">
        <f aca="false">0</f>
        <v>0</v>
      </c>
      <c r="H14" s="21" t="n">
        <f aca="false">0</f>
        <v>0</v>
      </c>
      <c r="I14" s="21" t="n">
        <f aca="false">0</f>
        <v>0</v>
      </c>
    </row>
    <row r="15" customFormat="false" ht="15" hidden="false" customHeight="false" outlineLevel="0" collapsed="false">
      <c r="B15" s="27" t="s">
        <v>132</v>
      </c>
      <c r="C15" s="28" t="n">
        <f aca="false">C13+C14</f>
        <v>25.5</v>
      </c>
      <c r="D15" s="28" t="n">
        <f aca="false">D13+D14</f>
        <v>10</v>
      </c>
      <c r="E15" s="28" t="n">
        <f aca="false">E13+E14</f>
        <v>19</v>
      </c>
      <c r="F15" s="28" t="n">
        <f aca="false">F13+F14</f>
        <v>20.1875</v>
      </c>
      <c r="G15" s="28" t="n">
        <f aca="false">G13+G14</f>
        <v>12.92</v>
      </c>
      <c r="H15" s="28" t="n">
        <f aca="false">H13+H14</f>
        <v>8.2365</v>
      </c>
      <c r="I15" s="28" t="n">
        <f aca="false">I13+I14</f>
        <v>4.9419</v>
      </c>
    </row>
    <row r="16" customFormat="false" ht="15" hidden="false" customHeight="false" outlineLevel="0" collapsed="false">
      <c r="B16" s="6"/>
      <c r="C16" s="6"/>
      <c r="D16" s="6"/>
      <c r="E16" s="6"/>
      <c r="F16" s="6"/>
      <c r="G16" s="6"/>
      <c r="H16" s="6"/>
      <c r="I16" s="6"/>
    </row>
    <row r="17" customFormat="false" ht="15" hidden="false" customHeight="false" outlineLevel="0" collapsed="false">
      <c r="B17" s="25" t="s">
        <v>133</v>
      </c>
      <c r="C17" s="18"/>
      <c r="D17" s="18"/>
      <c r="E17" s="18"/>
      <c r="F17" s="18"/>
      <c r="G17" s="18"/>
      <c r="H17" s="18"/>
      <c r="I17" s="18"/>
    </row>
    <row r="18" customFormat="false" ht="15" hidden="false" customHeight="false" outlineLevel="0" collapsed="false">
      <c r="B18" s="26" t="s">
        <v>134</v>
      </c>
      <c r="C18" s="21" t="n">
        <f aca="false">0</f>
        <v>0</v>
      </c>
      <c r="D18" s="21" t="n">
        <f aca="false">-Purchase_Price*Mgmt_Fee_Rate</f>
        <v>-1.0625</v>
      </c>
      <c r="E18" s="21" t="n">
        <f aca="false">-Purchase_Price*Mgmt_Fee_Rate</f>
        <v>-1.0625</v>
      </c>
      <c r="F18" s="21" t="n">
        <f aca="false">-Purchase_Price*Mgmt_Fee_Rate</f>
        <v>-1.0625</v>
      </c>
      <c r="G18" s="21" t="n">
        <f aca="false">-Purchase_Price*Mgmt_Fee_Rate</f>
        <v>-1.0625</v>
      </c>
      <c r="H18" s="21" t="n">
        <f aca="false">-Purchase_Price*Mgmt_Fee_Rate</f>
        <v>-1.0625</v>
      </c>
      <c r="I18" s="21" t="n">
        <f aca="false">-Purchase_Price*Mgmt_Fee_Rate</f>
        <v>-1.0625</v>
      </c>
    </row>
    <row r="19" customFormat="false" ht="15" hidden="false" customHeight="false" outlineLevel="0" collapsed="false">
      <c r="B19" s="26" t="s">
        <v>135</v>
      </c>
      <c r="C19" s="21" t="n">
        <f aca="false">-INDEX(LV_Interest,1,1)</f>
        <v>-0</v>
      </c>
      <c r="D19" s="21" t="n">
        <f aca="false">-INDEX(LV_Interest,1,2)</f>
        <v>-1.6575</v>
      </c>
      <c r="E19" s="21" t="n">
        <f aca="false">-INDEX(LV_Interest,1,3)</f>
        <v>-1.3325</v>
      </c>
      <c r="F19" s="21" t="n">
        <f aca="false">-INDEX(LV_Interest,1,4)</f>
        <v>-0.715</v>
      </c>
      <c r="G19" s="21" t="n">
        <f aca="false">-INDEX(LV_Interest,1,5)</f>
        <v>-0.05890625</v>
      </c>
      <c r="H19" s="21" t="n">
        <f aca="false">-INDEX(LV_Interest,1,6)</f>
        <v>-0</v>
      </c>
      <c r="I19" s="21" t="n">
        <f aca="false">-INDEX(LV_Interest,1,7)</f>
        <v>-0</v>
      </c>
    </row>
    <row r="20" customFormat="false" ht="15" hidden="false" customHeight="false" outlineLevel="0" collapsed="false">
      <c r="B20" s="26" t="s">
        <v>136</v>
      </c>
      <c r="C20" s="21" t="n">
        <f aca="false">-INDEX(LV_Repayment,1,1)</f>
        <v>-0</v>
      </c>
      <c r="D20" s="21" t="n">
        <f aca="false">-INDEX(LV_Repayment,1,2)</f>
        <v>-5</v>
      </c>
      <c r="E20" s="21" t="n">
        <f aca="false">-INDEX(LV_Repayment,1,3)</f>
        <v>-9.5</v>
      </c>
      <c r="F20" s="21" t="n">
        <f aca="false">-INDEX(LV_Repayment,1,4)</f>
        <v>-10.09375</v>
      </c>
      <c r="G20" s="21" t="n">
        <f aca="false">-INDEX(LV_Repayment,1,5)</f>
        <v>-0.90625</v>
      </c>
      <c r="H20" s="21" t="n">
        <f aca="false">-INDEX(LV_Repayment,1,6)</f>
        <v>-0</v>
      </c>
      <c r="I20" s="21" t="n">
        <f aca="false">-INDEX(LV_Repayment,1,7)</f>
        <v>-0</v>
      </c>
    </row>
    <row r="21" customFormat="false" ht="15" hidden="false" customHeight="false" outlineLevel="0" collapsed="false">
      <c r="B21" s="27" t="s">
        <v>137</v>
      </c>
      <c r="C21" s="28" t="n">
        <f aca="false">C18+C19+C20</f>
        <v>0</v>
      </c>
      <c r="D21" s="28" t="n">
        <f aca="false">D18+D19+D20</f>
        <v>-7.72</v>
      </c>
      <c r="E21" s="28" t="n">
        <f aca="false">E18+E19+E20</f>
        <v>-11.895</v>
      </c>
      <c r="F21" s="28" t="n">
        <f aca="false">F18+F19+F20</f>
        <v>-11.87125</v>
      </c>
      <c r="G21" s="28" t="n">
        <f aca="false">G18+G19+G20</f>
        <v>-2.02765625</v>
      </c>
      <c r="H21" s="28" t="n">
        <f aca="false">H18+H19+H20</f>
        <v>-1.0625</v>
      </c>
      <c r="I21" s="28" t="n">
        <f aca="false">I18+I19+I20</f>
        <v>-1.0625</v>
      </c>
    </row>
    <row r="22" customFormat="false" ht="15" hidden="false" customHeight="false" outlineLevel="0" collapsed="false">
      <c r="B22" s="25" t="s">
        <v>138</v>
      </c>
      <c r="C22" s="18"/>
      <c r="D22" s="18"/>
      <c r="E22" s="18"/>
      <c r="F22" s="18"/>
      <c r="G22" s="18"/>
      <c r="H22" s="18"/>
      <c r="I22" s="18"/>
    </row>
    <row r="23" customFormat="false" ht="15" hidden="false" customHeight="false" outlineLevel="0" collapsed="false">
      <c r="B23" s="29" t="s">
        <v>139</v>
      </c>
      <c r="C23" s="30" t="n">
        <f aca="false">C10+C15+C21</f>
        <v>-61.625</v>
      </c>
      <c r="D23" s="30" t="n">
        <f aca="false">D10+D15+D21</f>
        <v>-3.72</v>
      </c>
      <c r="E23" s="30" t="n">
        <f aca="false">E10+E15+E21</f>
        <v>3.955</v>
      </c>
      <c r="F23" s="30" t="n">
        <f aca="false">F10+F15+F21</f>
        <v>6.85375</v>
      </c>
      <c r="G23" s="30" t="n">
        <f aca="false">G10+G15+G21</f>
        <v>10.89234375</v>
      </c>
      <c r="H23" s="30" t="n">
        <f aca="false">H10+H15+H21</f>
        <v>7.174</v>
      </c>
      <c r="I23" s="30" t="n">
        <f aca="false">I10+I15+I21</f>
        <v>3.8794</v>
      </c>
    </row>
    <row r="24" customFormat="false" ht="15" hidden="false" customHeight="false" outlineLevel="0" collapsed="false">
      <c r="B24" s="25" t="s">
        <v>118</v>
      </c>
      <c r="C24" s="18"/>
      <c r="D24" s="18"/>
      <c r="E24" s="18"/>
      <c r="F24" s="18"/>
      <c r="G24" s="18"/>
      <c r="H24" s="18"/>
      <c r="I24" s="18"/>
    </row>
    <row r="25" customFormat="false" ht="15" hidden="false" customHeight="false" outlineLevel="0" collapsed="false">
      <c r="B25" s="26" t="s">
        <v>140</v>
      </c>
      <c r="C25" s="21" t="n">
        <f aca="false">-C10</f>
        <v>87.125</v>
      </c>
      <c r="D25" s="21" t="n">
        <f aca="false">C25-D10</f>
        <v>93.125</v>
      </c>
      <c r="E25" s="21" t="n">
        <f aca="false">D25-E10</f>
        <v>96.275</v>
      </c>
      <c r="F25" s="21" t="n">
        <f aca="false">E25-F10</f>
        <v>97.7375</v>
      </c>
      <c r="G25" s="21" t="n">
        <f aca="false">F25-G10</f>
        <v>97.7375</v>
      </c>
      <c r="H25" s="21" t="n">
        <f aca="false">G25-H10</f>
        <v>97.7375</v>
      </c>
      <c r="I25" s="21" t="n">
        <f aca="false">H25-I10</f>
        <v>97.7375</v>
      </c>
    </row>
    <row r="26" customFormat="false" ht="15" hidden="false" customHeight="false" outlineLevel="0" collapsed="false">
      <c r="B26" s="26" t="s">
        <v>141</v>
      </c>
      <c r="C26" s="21" t="n">
        <f aca="false">C13</f>
        <v>0</v>
      </c>
      <c r="D26" s="21" t="n">
        <f aca="false">C26+D13</f>
        <v>10</v>
      </c>
      <c r="E26" s="21" t="n">
        <f aca="false">D26+E13</f>
        <v>29</v>
      </c>
      <c r="F26" s="21" t="n">
        <f aca="false">E26+F13</f>
        <v>49.1875</v>
      </c>
      <c r="G26" s="21" t="n">
        <f aca="false">F26+G13</f>
        <v>62.1075</v>
      </c>
      <c r="H26" s="21" t="n">
        <f aca="false">G26+H13</f>
        <v>70.344</v>
      </c>
      <c r="I26" s="21" t="n">
        <f aca="false">H26+I13</f>
        <v>75.2859</v>
      </c>
    </row>
    <row r="27" customFormat="false" ht="15" hidden="false" customHeight="false" outlineLevel="0" collapsed="false">
      <c r="B27" s="26" t="s">
        <v>142</v>
      </c>
      <c r="C27" s="21" t="n">
        <f aca="false">C23</f>
        <v>-61.625</v>
      </c>
      <c r="D27" s="21" t="n">
        <f aca="false">C27+D23</f>
        <v>-65.345</v>
      </c>
      <c r="E27" s="21" t="n">
        <f aca="false">D27+E23</f>
        <v>-61.39</v>
      </c>
      <c r="F27" s="21" t="n">
        <f aca="false">E27+F23</f>
        <v>-54.53625</v>
      </c>
      <c r="G27" s="21" t="n">
        <f aca="false">F27+G23</f>
        <v>-43.64390625</v>
      </c>
      <c r="H27" s="21" t="n">
        <f aca="false">G27+H23</f>
        <v>-36.46990625</v>
      </c>
      <c r="I27" s="21" t="n">
        <f aca="false">H27+I23</f>
        <v>-32.59050625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4"/>
  </cols>
  <sheetData>
    <row r="1" customFormat="false" ht="15" hidden="false" customHeight="false" outlineLevel="0" collapsed="false">
      <c r="A1" s="1"/>
      <c r="B1" s="2"/>
      <c r="C1" s="2"/>
      <c r="D1" s="2"/>
      <c r="E1" s="2"/>
      <c r="F1" s="2"/>
      <c r="G1" s="2"/>
      <c r="H1" s="2"/>
      <c r="I1" s="2"/>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17</v>
      </c>
      <c r="C2" s="2"/>
      <c r="D2" s="2"/>
      <c r="E2" s="2"/>
      <c r="F2" s="2"/>
      <c r="G2" s="2"/>
      <c r="H2" s="2"/>
      <c r="I2" s="2"/>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143</v>
      </c>
      <c r="C3" s="2"/>
      <c r="D3" s="2"/>
      <c r="E3" s="2"/>
      <c r="F3" s="2"/>
      <c r="G3" s="2"/>
      <c r="H3" s="2"/>
      <c r="I3" s="2"/>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111</v>
      </c>
      <c r="C4" s="24" t="n">
        <v>0</v>
      </c>
      <c r="D4" s="24" t="n">
        <v>1</v>
      </c>
      <c r="E4" s="24" t="n">
        <v>2</v>
      </c>
      <c r="F4" s="24" t="n">
        <v>3</v>
      </c>
      <c r="G4" s="24" t="n">
        <v>4</v>
      </c>
      <c r="H4" s="24" t="n">
        <v>5</v>
      </c>
      <c r="I4" s="24" t="n">
        <v>6</v>
      </c>
    </row>
    <row r="5" customFormat="false" ht="15" hidden="false" customHeight="false" outlineLevel="0" collapsed="false">
      <c r="B5" s="6"/>
      <c r="C5" s="6"/>
      <c r="D5" s="6"/>
      <c r="E5" s="6"/>
      <c r="F5" s="6"/>
      <c r="G5" s="6"/>
      <c r="H5" s="6"/>
      <c r="I5" s="6"/>
    </row>
    <row r="6" customFormat="false" ht="15" hidden="false" customHeight="false" outlineLevel="0" collapsed="false">
      <c r="B6" s="25" t="s">
        <v>144</v>
      </c>
      <c r="C6" s="18"/>
      <c r="D6" s="18"/>
      <c r="E6" s="18"/>
      <c r="F6" s="18"/>
      <c r="G6" s="18"/>
      <c r="H6" s="18"/>
      <c r="I6" s="18"/>
    </row>
    <row r="7" customFormat="false" ht="15" hidden="false" customHeight="false" outlineLevel="0" collapsed="false">
      <c r="B7" s="8" t="s">
        <v>145</v>
      </c>
      <c r="C7" s="21" t="n">
        <f aca="false">0</f>
        <v>0</v>
      </c>
      <c r="D7" s="21" t="n">
        <f aca="false">C10</f>
        <v>25.5</v>
      </c>
      <c r="E7" s="21" t="n">
        <f aca="false">D10</f>
        <v>20.5</v>
      </c>
      <c r="F7" s="21" t="n">
        <f aca="false">E10</f>
        <v>11</v>
      </c>
      <c r="G7" s="21" t="n">
        <f aca="false">F10</f>
        <v>0.90625</v>
      </c>
      <c r="H7" s="21" t="n">
        <f aca="false">G10</f>
        <v>0</v>
      </c>
      <c r="I7" s="21" t="n">
        <f aca="false">H10</f>
        <v>0</v>
      </c>
    </row>
    <row r="8" customFormat="false" ht="15" hidden="false" customHeight="false" outlineLevel="0" collapsed="false">
      <c r="B8" s="26" t="s">
        <v>146</v>
      </c>
      <c r="C8" s="21" t="n">
        <f aca="false">INDEX(CF_Debt_Proceeds,1,1)</f>
        <v>25.5</v>
      </c>
      <c r="D8" s="21" t="n">
        <f aca="false">0</f>
        <v>0</v>
      </c>
      <c r="E8" s="21" t="n">
        <f aca="false">0</f>
        <v>0</v>
      </c>
      <c r="F8" s="21" t="n">
        <f aca="false">0</f>
        <v>0</v>
      </c>
      <c r="G8" s="21" t="n">
        <f aca="false">0</f>
        <v>0</v>
      </c>
      <c r="H8" s="21" t="n">
        <f aca="false">0</f>
        <v>0</v>
      </c>
      <c r="I8" s="21" t="n">
        <f aca="false">0</f>
        <v>0</v>
      </c>
    </row>
    <row r="9" customFormat="false" ht="15" hidden="false" customHeight="false" outlineLevel="0" collapsed="false">
      <c r="B9" s="26" t="s">
        <v>147</v>
      </c>
      <c r="C9" s="21" t="n">
        <f aca="false">0</f>
        <v>0</v>
      </c>
      <c r="D9" s="21" t="n">
        <f aca="false">Leverage_Toggle*MIN(INDEX(CF_Distributions,1,2)*Repay_Sweep_Pct,D7)</f>
        <v>5</v>
      </c>
      <c r="E9" s="21" t="n">
        <f aca="false">Leverage_Toggle*MIN(INDEX(CF_Distributions,1,3)*Repay_Sweep_Pct,E7)</f>
        <v>9.5</v>
      </c>
      <c r="F9" s="21" t="n">
        <f aca="false">Leverage_Toggle*MIN(INDEX(CF_Distributions,1,4)*Repay_Sweep_Pct,F7)</f>
        <v>10.09375</v>
      </c>
      <c r="G9" s="21" t="n">
        <f aca="false">Leverage_Toggle*MIN(INDEX(CF_Distributions,1,5)*Repay_Sweep_Pct,G7)</f>
        <v>0.90625</v>
      </c>
      <c r="H9" s="21" t="n">
        <f aca="false">Leverage_Toggle*MIN(INDEX(CF_Distributions,1,6)*Repay_Sweep_Pct,H7)</f>
        <v>0</v>
      </c>
      <c r="I9" s="21" t="n">
        <f aca="false">Leverage_Toggle*MIN(INDEX(CF_Distributions,1,7)*Repay_Sweep_Pct,I7)</f>
        <v>0</v>
      </c>
    </row>
    <row r="10" customFormat="false" ht="15" hidden="false" customHeight="false" outlineLevel="0" collapsed="false">
      <c r="B10" s="27" t="s">
        <v>148</v>
      </c>
      <c r="C10" s="28" t="n">
        <f aca="false">MAX(C7+C8-C9,0)</f>
        <v>25.5</v>
      </c>
      <c r="D10" s="28" t="n">
        <f aca="false">MAX(D7+D8-D9,0)</f>
        <v>20.5</v>
      </c>
      <c r="E10" s="28" t="n">
        <f aca="false">MAX(E7+E8-E9,0)</f>
        <v>11</v>
      </c>
      <c r="F10" s="28" t="n">
        <f aca="false">MAX(F7+F8-F9,0)</f>
        <v>0.90625</v>
      </c>
      <c r="G10" s="28" t="n">
        <f aca="false">MAX(G7+G8-G9,0)</f>
        <v>0</v>
      </c>
      <c r="H10" s="28" t="n">
        <f aca="false">MAX(H7+H8-H9,0)</f>
        <v>0</v>
      </c>
      <c r="I10" s="28" t="n">
        <f aca="false">MAX(I7+I8-I9,0)</f>
        <v>0</v>
      </c>
    </row>
    <row r="11" customFormat="false" ht="15" hidden="false" customHeight="false" outlineLevel="0" collapsed="false">
      <c r="B11" s="25" t="s">
        <v>149</v>
      </c>
      <c r="C11" s="18"/>
      <c r="D11" s="18"/>
      <c r="E11" s="18"/>
      <c r="F11" s="18"/>
      <c r="G11" s="18"/>
      <c r="H11" s="18"/>
      <c r="I11" s="18"/>
    </row>
    <row r="12" customFormat="false" ht="15" hidden="false" customHeight="false" outlineLevel="0" collapsed="false">
      <c r="B12" s="26" t="s">
        <v>135</v>
      </c>
      <c r="C12" s="21" t="n">
        <f aca="false">Leverage_Toggle*C7*Facility_Rate</f>
        <v>0</v>
      </c>
      <c r="D12" s="21" t="n">
        <f aca="false">Leverage_Toggle*D7*Facility_Rate</f>
        <v>1.6575</v>
      </c>
      <c r="E12" s="21" t="n">
        <f aca="false">Leverage_Toggle*E7*Facility_Rate</f>
        <v>1.3325</v>
      </c>
      <c r="F12" s="21" t="n">
        <f aca="false">Leverage_Toggle*F7*Facility_Rate</f>
        <v>0.715</v>
      </c>
      <c r="G12" s="21" t="n">
        <f aca="false">Leverage_Toggle*G7*Facility_Rate</f>
        <v>0.05890625</v>
      </c>
      <c r="H12" s="21" t="n">
        <f aca="false">Leverage_Toggle*H7*Facility_Rate</f>
        <v>0</v>
      </c>
      <c r="I12" s="21" t="n">
        <f aca="false">Leverage_Toggle*I7*Facility_Rate</f>
        <v>0</v>
      </c>
    </row>
    <row r="13" customFormat="false" ht="15" hidden="false" customHeight="false" outlineLevel="0" collapsed="false">
      <c r="B13" s="25" t="s">
        <v>150</v>
      </c>
      <c r="C13" s="18"/>
      <c r="D13" s="18"/>
      <c r="E13" s="18"/>
      <c r="F13" s="18"/>
      <c r="G13" s="18"/>
      <c r="H13" s="18"/>
      <c r="I13" s="18"/>
    </row>
    <row r="14" customFormat="false" ht="15" hidden="false" customHeight="false" outlineLevel="0" collapsed="false">
      <c r="B14" s="26" t="s">
        <v>151</v>
      </c>
      <c r="C14" s="31" t="n">
        <f aca="false">IFERROR(C10/INDEX(NAV_Closing,1,1),0)</f>
        <v>0.255</v>
      </c>
      <c r="D14" s="31" t="n">
        <f aca="false">IFERROR(D10/INDEX(NAV_Closing,1,2),0)</f>
        <v>0.215789473684211</v>
      </c>
      <c r="E14" s="31" t="n">
        <f aca="false">IFERROR(E10/INDEX(NAV_Closing,1,3),0)</f>
        <v>0.136222910216718</v>
      </c>
      <c r="F14" s="31" t="n">
        <f aca="false">IFERROR(F10/INDEX(NAV_Closing,1,4),0)</f>
        <v>0.0140286377708978</v>
      </c>
      <c r="G14" s="31" t="n">
        <f aca="false">IFERROR(G10/INDEX(NAV_Closing,1,5),0)</f>
        <v>0</v>
      </c>
      <c r="H14" s="31" t="n">
        <f aca="false">IFERROR(H10/INDEX(NAV_Closing,1,6),0)</f>
        <v>0</v>
      </c>
      <c r="I14" s="31" t="n">
        <f aca="false">IFERROR(I10/INDEX(NAV_Closing,1,7),0)</f>
        <v>0</v>
      </c>
    </row>
    <row r="15" customFormat="false" ht="15" hidden="false" customHeight="false" outlineLevel="0" collapsed="false">
      <c r="B15" s="26" t="s">
        <v>152</v>
      </c>
      <c r="C15" s="32" t="str">
        <f aca="false">IF(C14&lt;=Max_LTV,"PASS","BREACH")</f>
        <v>PASS</v>
      </c>
      <c r="D15" s="32" t="str">
        <f aca="false">IF(D14&lt;=Max_LTV,"PASS","BREACH")</f>
        <v>PASS</v>
      </c>
      <c r="E15" s="32" t="str">
        <f aca="false">IF(E14&lt;=Max_LTV,"PASS","BREACH")</f>
        <v>PASS</v>
      </c>
      <c r="F15" s="32" t="str">
        <f aca="false">IF(F14&lt;=Max_LTV,"PASS","BREACH")</f>
        <v>PASS</v>
      </c>
      <c r="G15" s="32" t="str">
        <f aca="false">IF(G14&lt;=Max_LTV,"PASS","BREACH")</f>
        <v>PASS</v>
      </c>
      <c r="H15" s="32" t="str">
        <f aca="false">IF(H14&lt;=Max_LTV,"PASS","BREACH")</f>
        <v>PASS</v>
      </c>
      <c r="I15" s="32" t="str">
        <f aca="false">IF(I14&lt;=Max_LTV,"PASS","BREACH")</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4"/>
  </cols>
  <sheetData>
    <row r="1" customFormat="false" ht="15" hidden="false" customHeight="false" outlineLevel="0" collapsed="false">
      <c r="A1" s="1"/>
      <c r="B1" s="2"/>
      <c r="C1" s="2"/>
      <c r="D1" s="2"/>
      <c r="E1" s="2"/>
      <c r="F1" s="2"/>
      <c r="G1" s="2"/>
      <c r="H1" s="2"/>
      <c r="I1" s="2"/>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20</v>
      </c>
      <c r="C2" s="2"/>
      <c r="D2" s="2"/>
      <c r="E2" s="2"/>
      <c r="F2" s="2"/>
      <c r="G2" s="2"/>
      <c r="H2" s="2"/>
      <c r="I2" s="2"/>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153</v>
      </c>
      <c r="C3" s="2"/>
      <c r="D3" s="2"/>
      <c r="E3" s="2"/>
      <c r="F3" s="2"/>
      <c r="G3" s="2"/>
      <c r="H3" s="2"/>
      <c r="I3" s="2"/>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15" t="s">
        <v>111</v>
      </c>
      <c r="C4" s="24" t="n">
        <v>0</v>
      </c>
      <c r="D4" s="24" t="n">
        <v>1</v>
      </c>
      <c r="E4" s="24" t="n">
        <v>2</v>
      </c>
      <c r="F4" s="24" t="n">
        <v>3</v>
      </c>
      <c r="G4" s="24" t="n">
        <v>4</v>
      </c>
      <c r="H4" s="24" t="n">
        <v>5</v>
      </c>
      <c r="I4" s="24" t="n">
        <v>6</v>
      </c>
    </row>
    <row r="5" customFormat="false" ht="15" hidden="false" customHeight="false" outlineLevel="0" collapsed="false">
      <c r="B5" s="6"/>
      <c r="C5" s="6"/>
      <c r="D5" s="6"/>
      <c r="E5" s="6"/>
      <c r="F5" s="6"/>
      <c r="G5" s="6"/>
      <c r="H5" s="6"/>
      <c r="I5" s="6"/>
    </row>
    <row r="6" customFormat="false" ht="15" hidden="false" customHeight="false" outlineLevel="0" collapsed="false">
      <c r="B6" s="25" t="s">
        <v>154</v>
      </c>
      <c r="C6" s="18"/>
      <c r="D6" s="18"/>
      <c r="E6" s="18"/>
      <c r="F6" s="18"/>
      <c r="G6" s="18"/>
      <c r="H6" s="18"/>
      <c r="I6" s="18"/>
    </row>
    <row r="7" customFormat="false" ht="15" hidden="false" customHeight="false" outlineLevel="0" collapsed="false">
      <c r="B7" s="26" t="s">
        <v>155</v>
      </c>
      <c r="C7" s="21" t="n">
        <f aca="false">INDEX(CF_Total_Outflows,1,1)+INDEX(CF_Distributions,1,1)</f>
        <v>-87.125</v>
      </c>
      <c r="D7" s="21" t="n">
        <f aca="false">INDEX(CF_Total_Outflows,1,2)+INDEX(CF_Distributions,1,2)</f>
        <v>4</v>
      </c>
      <c r="E7" s="21" t="n">
        <f aca="false">INDEX(CF_Total_Outflows,1,3)+INDEX(CF_Distributions,1,3)</f>
        <v>15.85</v>
      </c>
      <c r="F7" s="21" t="n">
        <f aca="false">INDEX(CF_Total_Outflows,1,4)+INDEX(CF_Distributions,1,4)</f>
        <v>18.725</v>
      </c>
      <c r="G7" s="21" t="n">
        <f aca="false">INDEX(CF_Total_Outflows,1,5)+INDEX(CF_Distributions,1,5)</f>
        <v>12.92</v>
      </c>
      <c r="H7" s="21" t="n">
        <f aca="false">INDEX(CF_Total_Outflows,1,6)+INDEX(CF_Distributions,1,6)</f>
        <v>8.2365</v>
      </c>
      <c r="I7" s="21" t="n">
        <f aca="false">INDEX(CF_Total_Outflows,1,7)+INDEX(CF_Distributions,1,7)</f>
        <v>4.9419</v>
      </c>
    </row>
    <row r="8" customFormat="false" ht="15" hidden="false" customHeight="false" outlineLevel="0" collapsed="false">
      <c r="B8" s="26" t="s">
        <v>156</v>
      </c>
      <c r="C8" s="21" t="n">
        <f aca="false">IF(C4=Fund_Remaining_Life,MAX(INDEX(NAV_Closing,1,1)*(1-Exit_Discount)-INDEX(NAV_Unfunded_Close,1,1),0),0)</f>
        <v>0</v>
      </c>
      <c r="D8" s="21" t="n">
        <f aca="false">IF(D4=Fund_Remaining_Life,MAX(INDEX(NAV_Closing,1,2)*(1-Exit_Discount)-INDEX(NAV_Unfunded_Close,1,2),0),0)</f>
        <v>0</v>
      </c>
      <c r="E8" s="21" t="n">
        <f aca="false">IF(E4=Fund_Remaining_Life,MAX(INDEX(NAV_Closing,1,3)*(1-Exit_Discount)-INDEX(NAV_Unfunded_Close,1,3),0),0)</f>
        <v>0</v>
      </c>
      <c r="F8" s="21" t="n">
        <f aca="false">IF(F4=Fund_Remaining_Life,MAX(INDEX(NAV_Closing,1,4)*(1-Exit_Discount)-INDEX(NAV_Unfunded_Close,1,4),0),0)</f>
        <v>0</v>
      </c>
      <c r="G8" s="21" t="n">
        <f aca="false">IF(G4=Fund_Remaining_Life,MAX(INDEX(NAV_Closing,1,5)*(1-Exit_Discount)-INDEX(NAV_Unfunded_Close,1,5),0),0)</f>
        <v>0</v>
      </c>
      <c r="H8" s="21" t="n">
        <f aca="false">IF(H4=Fund_Remaining_Life,MAX(INDEX(NAV_Closing,1,6)*(1-Exit_Discount)-INDEX(NAV_Unfunded_Close,1,6),0),0)</f>
        <v>0</v>
      </c>
      <c r="I8" s="21" t="n">
        <f aca="false">IF(I4=Fund_Remaining_Life,MAX(INDEX(NAV_Closing,1,7)*(1-Exit_Discount)-INDEX(NAV_Unfunded_Close,1,7),0),0)</f>
        <v>35.5183425</v>
      </c>
    </row>
    <row r="9" customFormat="false" ht="15" hidden="false" customHeight="false" outlineLevel="0" collapsed="false">
      <c r="B9" s="27" t="s">
        <v>157</v>
      </c>
      <c r="C9" s="28" t="n">
        <f aca="false">C7+C8</f>
        <v>-87.125</v>
      </c>
      <c r="D9" s="28" t="n">
        <f aca="false">D7+D8</f>
        <v>4</v>
      </c>
      <c r="E9" s="28" t="n">
        <f aca="false">E7+E8</f>
        <v>15.85</v>
      </c>
      <c r="F9" s="28" t="n">
        <f aca="false">F7+F8</f>
        <v>18.725</v>
      </c>
      <c r="G9" s="28" t="n">
        <f aca="false">G7+G8</f>
        <v>12.92</v>
      </c>
      <c r="H9" s="28" t="n">
        <f aca="false">H7+H8</f>
        <v>8.2365</v>
      </c>
      <c r="I9" s="28" t="n">
        <f aca="false">I7+I8</f>
        <v>40.4602425</v>
      </c>
    </row>
    <row r="10" customFormat="false" ht="15" hidden="false" customHeight="false" outlineLevel="0" collapsed="false">
      <c r="B10" s="25" t="s">
        <v>158</v>
      </c>
      <c r="C10" s="18"/>
      <c r="D10" s="18"/>
      <c r="E10" s="18"/>
      <c r="F10" s="18"/>
      <c r="G10" s="18"/>
      <c r="H10" s="18"/>
      <c r="I10" s="18"/>
    </row>
    <row r="11" customFormat="false" ht="15" hidden="false" customHeight="false" outlineLevel="0" collapsed="false">
      <c r="B11" s="26" t="s">
        <v>159</v>
      </c>
      <c r="C11" s="33" t="n">
        <f aca="false">IFERROR((INDEX(CF_Cumul_Dist,1,1)+C8)/INDEX(CF_Cumul_Invested,1,1),0)</f>
        <v>0</v>
      </c>
      <c r="D11" s="33" t="n">
        <f aca="false">IFERROR((INDEX(CF_Cumul_Dist,1,2)+D8)/INDEX(CF_Cumul_Invested,1,2),0)</f>
        <v>0.10738255033557</v>
      </c>
      <c r="E11" s="33" t="n">
        <f aca="false">IFERROR((INDEX(CF_Cumul_Dist,1,3)+E8)/INDEX(CF_Cumul_Invested,1,3),0)</f>
        <v>0.301220462217606</v>
      </c>
      <c r="F11" s="33" t="n">
        <f aca="false">IFERROR((INDEX(CF_Cumul_Dist,1,4)+F8)/INDEX(CF_Cumul_Invested,1,4),0)</f>
        <v>0.503261286609541</v>
      </c>
      <c r="G11" s="33" t="n">
        <f aca="false">IFERROR((INDEX(CF_Cumul_Dist,1,5)+G8)/INDEX(CF_Cumul_Invested,1,5),0)</f>
        <v>0.635452103849597</v>
      </c>
      <c r="H11" s="33" t="n">
        <f aca="false">IFERROR((INDEX(CF_Cumul_Dist,1,6)+H8)/INDEX(CF_Cumul_Invested,1,6),0)</f>
        <v>0.719723749840133</v>
      </c>
      <c r="I11" s="33" t="n">
        <f aca="false">IFERROR((INDEX(CF_Cumul_Dist,1,7)+I8)/INDEX(CF_Cumul_Invested,1,7),0)</f>
        <v>1.13369221128021</v>
      </c>
    </row>
    <row r="12" customFormat="false" ht="15" hidden="false" customHeight="false" outlineLevel="0" collapsed="false">
      <c r="B12" s="26" t="s">
        <v>160</v>
      </c>
      <c r="C12" s="33" t="n">
        <f aca="false">IFERROR(INDEX(CF_Cumul_Dist,1,1)/INDEX(CF_Cumul_Invested,1,1),0)</f>
        <v>0</v>
      </c>
      <c r="D12" s="33" t="n">
        <f aca="false">IFERROR(INDEX(CF_Cumul_Dist,1,2)/INDEX(CF_Cumul_Invested,1,2),0)</f>
        <v>0.10738255033557</v>
      </c>
      <c r="E12" s="33" t="n">
        <f aca="false">IFERROR(INDEX(CF_Cumul_Dist,1,3)/INDEX(CF_Cumul_Invested,1,3),0)</f>
        <v>0.301220462217606</v>
      </c>
      <c r="F12" s="33" t="n">
        <f aca="false">IFERROR(INDEX(CF_Cumul_Dist,1,4)/INDEX(CF_Cumul_Invested,1,4),0)</f>
        <v>0.503261286609541</v>
      </c>
      <c r="G12" s="33" t="n">
        <f aca="false">IFERROR(INDEX(CF_Cumul_Dist,1,5)/INDEX(CF_Cumul_Invested,1,5),0)</f>
        <v>0.635452103849597</v>
      </c>
      <c r="H12" s="33" t="n">
        <f aca="false">IFERROR(INDEX(CF_Cumul_Dist,1,6)/INDEX(CF_Cumul_Invested,1,6),0)</f>
        <v>0.719723749840133</v>
      </c>
      <c r="I12" s="33" t="n">
        <f aca="false">IFERROR(INDEX(CF_Cumul_Dist,1,7)/INDEX(CF_Cumul_Invested,1,7),0)</f>
        <v>0.770286737434454</v>
      </c>
    </row>
    <row r="13" customFormat="false" ht="15" hidden="false" customHeight="false" outlineLevel="0" collapsed="false">
      <c r="B13" s="26" t="s">
        <v>161</v>
      </c>
      <c r="C13" s="33" t="n">
        <f aca="false">IFERROR(INDEX(NAV_Closing,1,1)*(1-Exit_Discount)/INDEX(CF_Cumul_Invested,1,1),0)</f>
        <v>0.975609756097561</v>
      </c>
      <c r="D13" s="33" t="n">
        <f aca="false">IFERROR(INDEX(NAV_Closing,1,2)*(1-Exit_Discount)/INDEX(CF_Cumul_Invested,1,2),0)</f>
        <v>0.867114093959732</v>
      </c>
      <c r="E13" s="33" t="n">
        <f aca="false">IFERROR(INDEX(NAV_Closing,1,3)*(1-Exit_Discount)/INDEX(CF_Cumul_Invested,1,3),0)</f>
        <v>0.712931706050377</v>
      </c>
      <c r="F13" s="33" t="n">
        <f aca="false">IFERROR(INDEX(NAV_Closing,1,4)*(1-Exit_Discount)/INDEX(CF_Cumul_Invested,1,4),0)</f>
        <v>0.561810973270239</v>
      </c>
      <c r="G13" s="33" t="n">
        <f aca="false">IFERROR(INDEX(NAV_Closing,1,5)*(1-Exit_Discount)/INDEX(CF_Cumul_Invested,1,5),0)</f>
        <v>0.477539327279703</v>
      </c>
      <c r="H13" s="33" t="n">
        <f aca="false">IFERROR(INDEX(NAV_Closing,1,6)*(1-Exit_Discount)/INDEX(CF_Cumul_Invested,1,6),0)</f>
        <v>0.429785394551733</v>
      </c>
      <c r="I13" s="33" t="n">
        <f aca="false">IFERROR(INDEX(NAV_Closing,1,7)*(1-Exit_Discount)/INDEX(CF_Cumul_Invested,1,7),0)</f>
        <v>0.408296124824146</v>
      </c>
    </row>
    <row r="14" customFormat="false" ht="15" hidden="false" customHeight="false" outlineLevel="0" collapsed="false">
      <c r="B14" s="27" t="s">
        <v>162</v>
      </c>
      <c r="C14" s="34" t="n">
        <f aca="false">C12+C13</f>
        <v>0.975609756097561</v>
      </c>
      <c r="D14" s="34" t="n">
        <f aca="false">D12+D13</f>
        <v>0.974496644295302</v>
      </c>
      <c r="E14" s="34" t="n">
        <f aca="false">E12+E13</f>
        <v>1.01415216826798</v>
      </c>
      <c r="F14" s="34" t="n">
        <f aca="false">F12+F13</f>
        <v>1.06507225987978</v>
      </c>
      <c r="G14" s="34" t="n">
        <f aca="false">G12+G13</f>
        <v>1.1129914311293</v>
      </c>
      <c r="H14" s="34" t="n">
        <f aca="false">H12+H13</f>
        <v>1.14950914439187</v>
      </c>
      <c r="I14" s="34" t="n">
        <f aca="false">I12+I13</f>
        <v>1.1785828622586</v>
      </c>
    </row>
    <row r="15" customFormat="false" ht="15" hidden="false" customHeight="false" outlineLevel="0" collapsed="false">
      <c r="B15" s="26" t="s">
        <v>163</v>
      </c>
      <c r="C15" s="35" t="n">
        <f aca="false">C14-C12-C13</f>
        <v>0</v>
      </c>
      <c r="D15" s="35" t="n">
        <f aca="false">D14-D12-D13</f>
        <v>0</v>
      </c>
      <c r="E15" s="35" t="n">
        <f aca="false">E14-E12-E13</f>
        <v>0</v>
      </c>
      <c r="F15" s="35" t="n">
        <f aca="false">F14-F12-F13</f>
        <v>0</v>
      </c>
      <c r="G15" s="35" t="n">
        <f aca="false">G14-G12-G13</f>
        <v>0</v>
      </c>
      <c r="H15" s="35" t="n">
        <f aca="false">H14-H12-H13</f>
        <v>0</v>
      </c>
      <c r="I15" s="35" t="n">
        <f aca="false">I14-I12-I13</f>
        <v>0</v>
      </c>
    </row>
    <row r="16" customFormat="false" ht="15" hidden="false" customHeight="false" outlineLevel="0" collapsed="false">
      <c r="B16" s="6"/>
      <c r="C16" s="6"/>
      <c r="D16" s="6"/>
      <c r="E16" s="6"/>
      <c r="F16" s="6"/>
      <c r="G16" s="6"/>
      <c r="H16" s="6"/>
      <c r="I16" s="6"/>
    </row>
    <row r="17" customFormat="false" ht="15" hidden="false" customHeight="false" outlineLevel="0" collapsed="false">
      <c r="B17" s="26" t="s">
        <v>164</v>
      </c>
      <c r="C17" s="31" t="n">
        <f aca="false">0</f>
        <v>0</v>
      </c>
      <c r="D17" s="31" t="n">
        <f aca="false">IFERROR(IRR(C9:D9),0)</f>
        <v>0</v>
      </c>
      <c r="E17" s="31" t="n">
        <f aca="false">IFERROR(IRR(C9:E9),0)</f>
        <v>0</v>
      </c>
      <c r="F17" s="31" t="n">
        <f aca="false">IFERROR(IRR(C9:F9),0)</f>
        <v>-0.282721956498391</v>
      </c>
      <c r="G17" s="31" t="n">
        <f aca="false">IFERROR(IRR(C9:G9),0)</f>
        <v>-0.167819284720968</v>
      </c>
      <c r="H17" s="31" t="n">
        <f aca="false">IFERROR(IRR(C9:H9),0)</f>
        <v>-0.112262571223343</v>
      </c>
      <c r="I17" s="31" t="n">
        <f aca="false">IFERROR(IRR(C9:I9),0)</f>
        <v>0.0336677046062499</v>
      </c>
    </row>
    <row r="18" customFormat="false" ht="15" hidden="false" customHeight="false" outlineLevel="0" collapsed="false">
      <c r="B18" s="26" t="s">
        <v>165</v>
      </c>
      <c r="C18" s="31" t="n">
        <f aca="false">Discount_Pct</f>
        <v>0.15</v>
      </c>
      <c r="D18" s="31" t="n">
        <f aca="false">Discount_Pct</f>
        <v>0.15</v>
      </c>
      <c r="E18" s="31" t="n">
        <f aca="false">Discount_Pct</f>
        <v>0.15</v>
      </c>
      <c r="F18" s="31" t="n">
        <f aca="false">Discount_Pct</f>
        <v>0.15</v>
      </c>
      <c r="G18" s="31" t="n">
        <f aca="false">Discount_Pct</f>
        <v>0.15</v>
      </c>
      <c r="H18" s="31" t="n">
        <f aca="false">Discount_Pct</f>
        <v>0.15</v>
      </c>
      <c r="I18" s="31" t="n">
        <f aca="false">Discount_Pct</f>
        <v>0.15</v>
      </c>
    </row>
    <row r="19" customFormat="false" ht="15" hidden="false" customHeight="false" outlineLevel="0" collapsed="false">
      <c r="B19" s="6"/>
      <c r="C19" s="6"/>
      <c r="D19" s="6"/>
      <c r="E19" s="6"/>
      <c r="F19" s="6"/>
      <c r="G19" s="6"/>
      <c r="H19" s="6"/>
      <c r="I19" s="6"/>
    </row>
    <row r="20" customFormat="false" ht="15" hidden="false" customHeight="false" outlineLevel="0" collapsed="false">
      <c r="B20" s="25" t="s">
        <v>166</v>
      </c>
      <c r="C20" s="18"/>
      <c r="D20" s="18"/>
      <c r="E20" s="18"/>
      <c r="F20" s="18"/>
      <c r="G20" s="18"/>
      <c r="H20" s="18"/>
      <c r="I20" s="18"/>
    </row>
    <row r="21" customFormat="false" ht="15" hidden="false" customHeight="false" outlineLevel="0" collapsed="false">
      <c r="B21" s="26" t="s">
        <v>167</v>
      </c>
      <c r="C21" s="21" t="n">
        <f aca="false">IFERROR(INDEX(CF_Cumul_Invested,1,1)*((1+Hurdle_Rate)^C4-1),0)</f>
        <v>0</v>
      </c>
      <c r="D21" s="21" t="n">
        <f aca="false">IFERROR(INDEX(CF_Cumul_Invested,1,2)*((1+Hurdle_Rate)^D4-1),0)</f>
        <v>7.45000000000001</v>
      </c>
      <c r="E21" s="21" t="n">
        <f aca="false">IFERROR(INDEX(CF_Cumul_Invested,1,3)*((1+Hurdle_Rate)^E4-1),0)</f>
        <v>16.02016</v>
      </c>
      <c r="F21" s="21" t="n">
        <f aca="false">IFERROR(INDEX(CF_Cumul_Invested,1,4)*((1+Hurdle_Rate)^F4-1),0)</f>
        <v>25.3836016</v>
      </c>
      <c r="G21" s="21" t="n">
        <f aca="false">IFERROR(INDEX(CF_Cumul_Invested,1,5)*((1+Hurdle_Rate)^G4-1),0)</f>
        <v>35.233289728</v>
      </c>
      <c r="H21" s="21" t="n">
        <f aca="false">IFERROR(INDEX(CF_Cumul_Invested,1,6)*((1+Hurdle_Rate)^H4-1),0)</f>
        <v>45.8709529062401</v>
      </c>
      <c r="I21" s="21" t="n">
        <f aca="false">IFERROR(INDEX(CF_Cumul_Invested,1,7)*((1+Hurdle_Rate)^I4-1),0)</f>
        <v>57.3596291387393</v>
      </c>
    </row>
    <row r="22" customFormat="false" ht="15" hidden="false" customHeight="false" outlineLevel="0" collapsed="false">
      <c r="B22" s="26" t="s">
        <v>168</v>
      </c>
      <c r="C22" s="21" t="n">
        <f aca="false">Carry_Rate*MAX(0,INDEX(CF_Cumul_Dist,1,1)+C8-INDEX(CF_Cumul_Invested,1,1)-C21)</f>
        <v>0</v>
      </c>
      <c r="D22" s="21" t="n">
        <f aca="false">Carry_Rate*MAX(0,INDEX(CF_Cumul_Dist,1,2)+D8-INDEX(CF_Cumul_Invested,1,2)-D21)</f>
        <v>0</v>
      </c>
      <c r="E22" s="21" t="n">
        <f aca="false">Carry_Rate*MAX(0,INDEX(CF_Cumul_Dist,1,3)+E8-INDEX(CF_Cumul_Invested,1,3)-E21)</f>
        <v>0</v>
      </c>
      <c r="F22" s="21" t="n">
        <f aca="false">Carry_Rate*MAX(0,INDEX(CF_Cumul_Dist,1,4)+F8-INDEX(CF_Cumul_Invested,1,4)-F21)</f>
        <v>0</v>
      </c>
      <c r="G22" s="21" t="n">
        <f aca="false">Carry_Rate*MAX(0,INDEX(CF_Cumul_Dist,1,5)+G8-INDEX(CF_Cumul_Invested,1,5)-G21)</f>
        <v>0</v>
      </c>
      <c r="H22" s="21" t="n">
        <f aca="false">Carry_Rate*MAX(0,INDEX(CF_Cumul_Dist,1,6)+H8-INDEX(CF_Cumul_Invested,1,6)-H21)</f>
        <v>0</v>
      </c>
      <c r="I22" s="21" t="n">
        <f aca="false">Carry_Rate*MAX(0,INDEX(CF_Cumul_Dist,1,7)+I8-INDEX(CF_Cumul_Invested,1,7)-I21)</f>
        <v>0</v>
      </c>
    </row>
    <row r="23" customFormat="false" ht="15" hidden="false" customHeight="false" outlineLevel="0" collapsed="false">
      <c r="B23" s="26" t="s">
        <v>169</v>
      </c>
      <c r="C23" s="21" t="n">
        <f aca="false">C22</f>
        <v>0</v>
      </c>
      <c r="D23" s="21" t="n">
        <f aca="false">MAX(D22-C22,0)</f>
        <v>0</v>
      </c>
      <c r="E23" s="21" t="n">
        <f aca="false">MAX(E22-D22,0)</f>
        <v>0</v>
      </c>
      <c r="F23" s="21" t="n">
        <f aca="false">MAX(F22-E22,0)</f>
        <v>0</v>
      </c>
      <c r="G23" s="21" t="n">
        <f aca="false">MAX(G22-F22,0)</f>
        <v>0</v>
      </c>
      <c r="H23" s="21" t="n">
        <f aca="false">MAX(H22-G22,0)</f>
        <v>0</v>
      </c>
      <c r="I23" s="21" t="n">
        <f aca="false">MAX(I22-H22,0)</f>
        <v>0</v>
      </c>
    </row>
    <row r="24" customFormat="false" ht="15" hidden="false" customHeight="false" outlineLevel="0" collapsed="false">
      <c r="B24" s="6"/>
      <c r="C24" s="6"/>
      <c r="D24" s="6"/>
      <c r="E24" s="6"/>
      <c r="F24" s="6"/>
      <c r="G24" s="6"/>
      <c r="H24" s="6"/>
      <c r="I24" s="6"/>
    </row>
    <row r="25" customFormat="false" ht="15" hidden="false" customHeight="false" outlineLevel="0" collapsed="false">
      <c r="B25" s="25" t="s">
        <v>170</v>
      </c>
      <c r="C25" s="18"/>
      <c r="D25" s="18"/>
      <c r="E25" s="18"/>
      <c r="F25" s="18"/>
      <c r="G25" s="18"/>
      <c r="H25" s="18"/>
      <c r="I25" s="18"/>
    </row>
    <row r="26" customFormat="false" ht="15" hidden="false" customHeight="false" outlineLevel="0" collapsed="false">
      <c r="B26" s="26" t="s">
        <v>138</v>
      </c>
      <c r="C26" s="21" t="n">
        <f aca="false">INDEX(CF_Net_CF,1,1)-C23</f>
        <v>-61.625</v>
      </c>
      <c r="D26" s="21" t="n">
        <f aca="false">INDEX(CF_Net_CF,1,2)-D23</f>
        <v>-3.72</v>
      </c>
      <c r="E26" s="21" t="n">
        <f aca="false">INDEX(CF_Net_CF,1,3)-E23</f>
        <v>3.955</v>
      </c>
      <c r="F26" s="21" t="n">
        <f aca="false">INDEX(CF_Net_CF,1,4)-F23</f>
        <v>6.85375</v>
      </c>
      <c r="G26" s="21" t="n">
        <f aca="false">INDEX(CF_Net_CF,1,5)-G23</f>
        <v>10.89234375</v>
      </c>
      <c r="H26" s="21" t="n">
        <f aca="false">INDEX(CF_Net_CF,1,6)-H23</f>
        <v>7.174</v>
      </c>
      <c r="I26" s="21" t="n">
        <f aca="false">INDEX(CF_Net_CF,1,7)-I23</f>
        <v>3.8794</v>
      </c>
    </row>
    <row r="27" customFormat="false" ht="15" hidden="false" customHeight="false" outlineLevel="0" collapsed="false">
      <c r="B27" s="26" t="s">
        <v>171</v>
      </c>
      <c r="C27" s="21" t="n">
        <f aca="false">IF(C4=Fund_Remaining_Life,MAX(INDEX(NAV_Closing,1,1)*(1-Exit_Discount)-INDEX(NAV_Unfunded_Close,1,1)-INDEX(LV_Closing,1,1),0),0)</f>
        <v>0</v>
      </c>
      <c r="D27" s="21" t="n">
        <f aca="false">IF(D4=Fund_Remaining_Life,MAX(INDEX(NAV_Closing,1,2)*(1-Exit_Discount)-INDEX(NAV_Unfunded_Close,1,2)-INDEX(LV_Closing,1,2),0),0)</f>
        <v>0</v>
      </c>
      <c r="E27" s="21" t="n">
        <f aca="false">IF(E4=Fund_Remaining_Life,MAX(INDEX(NAV_Closing,1,3)*(1-Exit_Discount)-INDEX(NAV_Unfunded_Close,1,3)-INDEX(LV_Closing,1,3),0),0)</f>
        <v>0</v>
      </c>
      <c r="F27" s="21" t="n">
        <f aca="false">IF(F4=Fund_Remaining_Life,MAX(INDEX(NAV_Closing,1,4)*(1-Exit_Discount)-INDEX(NAV_Unfunded_Close,1,4)-INDEX(LV_Closing,1,4),0),0)</f>
        <v>0</v>
      </c>
      <c r="G27" s="21" t="n">
        <f aca="false">IF(G4=Fund_Remaining_Life,MAX(INDEX(NAV_Closing,1,5)*(1-Exit_Discount)-INDEX(NAV_Unfunded_Close,1,5)-INDEX(LV_Closing,1,5),0),0)</f>
        <v>0</v>
      </c>
      <c r="H27" s="21" t="n">
        <f aca="false">IF(H4=Fund_Remaining_Life,MAX(INDEX(NAV_Closing,1,6)*(1-Exit_Discount)-INDEX(NAV_Unfunded_Close,1,6)-INDEX(LV_Closing,1,6),0),0)</f>
        <v>0</v>
      </c>
      <c r="I27" s="21" t="n">
        <f aca="false">IF(I4=Fund_Remaining_Life,MAX(INDEX(NAV_Closing,1,7)*(1-Exit_Discount)-INDEX(NAV_Unfunded_Close,1,7)-INDEX(LV_Closing,1,7),0),0)</f>
        <v>35.5183425</v>
      </c>
    </row>
    <row r="28" customFormat="false" ht="15" hidden="false" customHeight="false" outlineLevel="0" collapsed="false">
      <c r="B28" s="27" t="s">
        <v>172</v>
      </c>
      <c r="C28" s="28" t="n">
        <f aca="false">C26+C27</f>
        <v>-61.625</v>
      </c>
      <c r="D28" s="28" t="n">
        <f aca="false">D26+D27</f>
        <v>-3.72</v>
      </c>
      <c r="E28" s="28" t="n">
        <f aca="false">E26+E27</f>
        <v>3.955</v>
      </c>
      <c r="F28" s="28" t="n">
        <f aca="false">F26+F27</f>
        <v>6.85375</v>
      </c>
      <c r="G28" s="28" t="n">
        <f aca="false">G26+G27</f>
        <v>10.89234375</v>
      </c>
      <c r="H28" s="28" t="n">
        <f aca="false">H26+H27</f>
        <v>7.174</v>
      </c>
      <c r="I28" s="28" t="n">
        <f aca="false">I26+I27</f>
        <v>39.3977425</v>
      </c>
    </row>
    <row r="29" customFormat="false" ht="15" hidden="false" customHeight="false" outlineLevel="0" collapsed="false">
      <c r="B29" s="25" t="s">
        <v>173</v>
      </c>
      <c r="C29" s="18"/>
      <c r="D29" s="18"/>
      <c r="E29" s="18"/>
      <c r="F29" s="18"/>
      <c r="G29" s="18"/>
      <c r="H29" s="18"/>
      <c r="I29" s="18"/>
    </row>
    <row r="30" customFormat="false" ht="15" hidden="false" customHeight="false" outlineLevel="0" collapsed="false">
      <c r="B30" s="26" t="s">
        <v>174</v>
      </c>
      <c r="C30" s="33" t="n">
        <f aca="false">IFERROR((SUM(C26)+C27)/(INDEX(CF_Cumul_Invested,1,1)-INDEX(CF_Debt_Proceeds,1,1)),0)</f>
        <v>-1</v>
      </c>
      <c r="D30" s="33" t="n">
        <f aca="false">IFERROR((SUM(C26:D26)+D27)/(INDEX(CF_Cumul_Invested,1,2)-INDEX(CF_Debt_Proceeds,1,1)),0)</f>
        <v>-0.966284658040665</v>
      </c>
      <c r="E30" s="33" t="n">
        <f aca="false">IFERROR((SUM(C26:E26)+E27)/(INDEX(CF_Cumul_Invested,1,3)-INDEX(CF_Debt_Proceeds,1,1)),0)</f>
        <v>-0.867396679618509</v>
      </c>
      <c r="F30" s="33" t="n">
        <f aca="false">IFERROR((SUM(C26:F26)+F27)/(INDEX(CF_Cumul_Invested,1,4)-INDEX(CF_Debt_Proceeds,1,1)),0)</f>
        <v>-0.754957605121993</v>
      </c>
      <c r="G30" s="33" t="n">
        <f aca="false">IFERROR((SUM(C26:G26)+G27)/(INDEX(CF_Cumul_Invested,1,5)-INDEX(CF_Debt_Proceeds,1,1)),0)</f>
        <v>-0.60417243467728</v>
      </c>
      <c r="H30" s="33" t="n">
        <f aca="false">IFERROR((SUM(C26:H26)+H27)/(INDEX(CF_Cumul_Invested,1,6)-INDEX(CF_Debt_Proceeds,1,1)),0)</f>
        <v>-0.504861135144489</v>
      </c>
      <c r="I30" s="33" t="n">
        <f aca="false">IFERROR((SUM(C26:I26)+I27)/(INDEX(CF_Cumul_Invested,1,7)-INDEX(CF_Debt_Proceeds,1,1)),0)</f>
        <v>0.040530697352483</v>
      </c>
    </row>
    <row r="31" customFormat="false" ht="15" hidden="false" customHeight="false" outlineLevel="0" collapsed="false">
      <c r="B31" s="26" t="s">
        <v>175</v>
      </c>
      <c r="C31" s="31" t="n">
        <f aca="false">0</f>
        <v>0</v>
      </c>
      <c r="D31" s="31" t="n">
        <f aca="false">IFERROR(IRR(C28:D28),0)</f>
        <v>0</v>
      </c>
      <c r="E31" s="31" t="n">
        <f aca="false">IFERROR(IRR(C28:E28),0)</f>
        <v>0</v>
      </c>
      <c r="F31" s="31" t="n">
        <f aca="false">IFERROR(IRR(C28:F28),0)</f>
        <v>0</v>
      </c>
      <c r="G31" s="31" t="n">
        <f aca="false">IFERROR(IRR(C28:G28),0)</f>
        <v>0</v>
      </c>
      <c r="H31" s="31" t="n">
        <f aca="false">IFERROR(IRR(C28:H28),0)</f>
        <v>-0.19451267156892</v>
      </c>
      <c r="I31" s="31" t="n">
        <f aca="false">IFERROR(IRR(C28:I28),0)</f>
        <v>0.00884215007135185</v>
      </c>
    </row>
    <row r="32" customFormat="false" ht="15" hidden="false" customHeight="false" outlineLevel="0" collapsed="false">
      <c r="B32" s="6"/>
      <c r="C32" s="6"/>
      <c r="D32" s="6"/>
      <c r="E32" s="6"/>
      <c r="F32" s="6"/>
      <c r="G32" s="6"/>
      <c r="H32" s="6"/>
      <c r="I32" s="6"/>
    </row>
    <row r="33" customFormat="false" ht="15" hidden="false" customHeight="false" outlineLevel="0" collapsed="false">
      <c r="B33" s="25" t="s">
        <v>176</v>
      </c>
      <c r="C33" s="18"/>
      <c r="D33" s="18"/>
      <c r="E33" s="18"/>
      <c r="F33" s="18"/>
      <c r="G33" s="18"/>
      <c r="H33" s="18"/>
      <c r="I33" s="18"/>
    </row>
    <row r="34" customFormat="false" ht="15" hidden="false" customHeight="false" outlineLevel="0" collapsed="false">
      <c r="B34" s="26" t="s">
        <v>177</v>
      </c>
      <c r="C34" s="33" t="n">
        <f aca="false">C11-Target_Gross_MOIC</f>
        <v>-1.6</v>
      </c>
      <c r="D34" s="33" t="n">
        <f aca="false">D11-Target_Gross_MOIC</f>
        <v>-1.49261744966443</v>
      </c>
      <c r="E34" s="33" t="n">
        <f aca="false">E11-Target_Gross_MOIC</f>
        <v>-1.29877953778239</v>
      </c>
      <c r="F34" s="33" t="n">
        <f aca="false">F11-Target_Gross_MOIC</f>
        <v>-1.09673871339046</v>
      </c>
      <c r="G34" s="33" t="n">
        <f aca="false">G11-Target_Gross_MOIC</f>
        <v>-0.964547896150403</v>
      </c>
      <c r="H34" s="33" t="n">
        <f aca="false">H11-Target_Gross_MOIC</f>
        <v>-0.880276250159867</v>
      </c>
      <c r="I34" s="33" t="n">
        <f aca="false">I11-Target_Gross_MOIC</f>
        <v>-0.466307788719786</v>
      </c>
    </row>
    <row r="35" customFormat="false" ht="15" hidden="false" customHeight="false" outlineLevel="0" collapsed="false">
      <c r="B35" s="26" t="s">
        <v>178</v>
      </c>
      <c r="C35" s="31" t="n">
        <f aca="false">C17-Target_Gross_IRR</f>
        <v>-0.18</v>
      </c>
      <c r="D35" s="31" t="n">
        <f aca="false">D17-Target_Gross_IRR</f>
        <v>-0.18</v>
      </c>
      <c r="E35" s="31" t="n">
        <f aca="false">E17-Target_Gross_IRR</f>
        <v>-0.18</v>
      </c>
      <c r="F35" s="31" t="n">
        <f aca="false">F17-Target_Gross_IRR</f>
        <v>-0.462721956498391</v>
      </c>
      <c r="G35" s="31" t="n">
        <f aca="false">G17-Target_Gross_IRR</f>
        <v>-0.347819284720968</v>
      </c>
      <c r="H35" s="31" t="n">
        <f aca="false">H17-Target_Gross_IRR</f>
        <v>-0.292262571223343</v>
      </c>
      <c r="I35" s="31" t="n">
        <f aca="false">I17-Target_Gross_IRR</f>
        <v>-0.14633229539375</v>
      </c>
    </row>
    <row r="36" customFormat="false" ht="15" hidden="false" customHeight="false" outlineLevel="0" collapsed="false">
      <c r="B36" s="26" t="s">
        <v>179</v>
      </c>
      <c r="C36" s="31" t="n">
        <f aca="false">C31-Target_Net_IRR_Assum</f>
        <v>-0.15</v>
      </c>
      <c r="D36" s="31" t="n">
        <f aca="false">D31-Target_Net_IRR_Assum</f>
        <v>-0.15</v>
      </c>
      <c r="E36" s="31" t="n">
        <f aca="false">E31-Target_Net_IRR_Assum</f>
        <v>-0.15</v>
      </c>
      <c r="F36" s="31" t="n">
        <f aca="false">F31-Target_Net_IRR_Assum</f>
        <v>-0.15</v>
      </c>
      <c r="G36" s="31" t="n">
        <f aca="false">G31-Target_Net_IRR_Assum</f>
        <v>-0.15</v>
      </c>
      <c r="H36" s="31" t="n">
        <f aca="false">H31-Target_Net_IRR_Assum</f>
        <v>-0.34451267156892</v>
      </c>
      <c r="I36" s="31" t="n">
        <f aca="false">I31-Target_Net_IRR_Assum</f>
        <v>-0.141157849928648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50"/>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180</v>
      </c>
      <c r="C2" s="2"/>
      <c r="D2" s="2"/>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181</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c r="D4" s="6"/>
    </row>
    <row r="5" customFormat="false" ht="15" hidden="false" customHeight="false" outlineLevel="0" collapsed="false">
      <c r="B5" s="15" t="s">
        <v>182</v>
      </c>
      <c r="C5" s="15" t="s">
        <v>183</v>
      </c>
      <c r="D5" s="15" t="s">
        <v>4</v>
      </c>
    </row>
    <row r="6" customFormat="false" ht="15" hidden="false" customHeight="false" outlineLevel="0" collapsed="false">
      <c r="B6" s="8" t="s">
        <v>184</v>
      </c>
      <c r="C6" s="36" t="str">
        <f aca="false">IF(MIN(Portfolio_NAV!C11:I11)&gt;=0,"PASS","FAIL")</f>
        <v>PASS</v>
      </c>
      <c r="D6" s="9" t="s">
        <v>185</v>
      </c>
    </row>
    <row r="7" customFormat="false" ht="15" hidden="false" customHeight="false" outlineLevel="0" collapsed="false">
      <c r="B7" s="8" t="s">
        <v>186</v>
      </c>
      <c r="C7" s="36" t="str">
        <f aca="false">IF(MIN(Portfolio_NAV!C19:I19)&gt;=0,"PASS","FAIL")</f>
        <v>PASS</v>
      </c>
      <c r="D7" s="9" t="s">
        <v>187</v>
      </c>
    </row>
    <row r="8" customFormat="false" ht="15" hidden="false" customHeight="false" outlineLevel="0" collapsed="false">
      <c r="B8" s="8" t="s">
        <v>188</v>
      </c>
      <c r="C8" s="36" t="str">
        <f aca="false">IF(AND(Portfolio_NAV!D9&lt;=Portfolio_NAV!D7+Portfolio_NAV!D8,Portfolio_NAV!E9&lt;=Portfolio_NAV!E7+Portfolio_NAV!E8,Portfolio_NAV!F9&lt;=Portfolio_NAV!F7+Portfolio_NAV!F8,Portfolio_NAV!G9&lt;=Portfolio_NAV!G7+Portfolio_NAV!G8,Portfolio_NAV!H9&lt;=Portfolio_NAV!H7+Portfolio_NAV!H8,Portfolio_NAV!I9&lt;=Portfolio_NAV!I7+Portfolio_NAV!I8),"PASS","FAIL")</f>
        <v>PASS</v>
      </c>
      <c r="D8" s="9" t="s">
        <v>189</v>
      </c>
    </row>
    <row r="9" customFormat="false" ht="15" hidden="false" customHeight="false" outlineLevel="0" collapsed="false">
      <c r="B9" s="8" t="s">
        <v>190</v>
      </c>
      <c r="C9" s="36" t="str">
        <f aca="false">IF(AND(MIN(Returns!C9:I9)&lt;0,MAX(Returns!C9:I9)&gt;0),"PASS","FAIL")</f>
        <v>PASS</v>
      </c>
      <c r="D9" s="9" t="s">
        <v>191</v>
      </c>
    </row>
    <row r="10" customFormat="false" ht="15" hidden="false" customHeight="false" outlineLevel="0" collapsed="false">
      <c r="B10" s="8" t="s">
        <v>192</v>
      </c>
      <c r="C10" s="36" t="str">
        <f aca="false">IF(ROUND(MAX(ABS(Returns!C15),ABS(Returns!D15),ABS(Returns!E15),ABS(Returns!F15),ABS(Returns!G15),ABS(Returns!H15),ABS(Returns!I15)),6)=0,"PASS","FAIL")</f>
        <v>PASS</v>
      </c>
      <c r="D10" s="9" t="s">
        <v>193</v>
      </c>
    </row>
    <row r="11" customFormat="false" ht="15" hidden="false" customHeight="false" outlineLevel="0" collapsed="false">
      <c r="B11" s="8" t="s">
        <v>194</v>
      </c>
      <c r="C11" s="36" t="str">
        <f aca="false">IF(OR(Leverage_Toggle=0,MAX(Leverage!C14:I14)&lt;=Max_LTV+0.001),"PASS","FAIL")</f>
        <v>PASS</v>
      </c>
      <c r="D11" s="9" t="s">
        <v>195</v>
      </c>
    </row>
    <row r="12" customFormat="false" ht="15" hidden="false" customHeight="false" outlineLevel="0" collapsed="false">
      <c r="B12" s="8" t="s">
        <v>196</v>
      </c>
      <c r="C12" s="36" t="str">
        <f aca="false">IF(Cash_Flows!I25&gt;0,"PASS","FAIL")</f>
        <v>PASS</v>
      </c>
      <c r="D12" s="9" t="s">
        <v>197</v>
      </c>
    </row>
    <row r="13" customFormat="false" ht="15" hidden="false" customHeight="false" outlineLevel="0" collapsed="false">
      <c r="B13" s="8" t="s">
        <v>198</v>
      </c>
      <c r="C13" s="36" t="str">
        <f aca="false">IF(Returns!I11&gt;1,"PASS","FAIL")</f>
        <v>PASS</v>
      </c>
      <c r="D13" s="9" t="s">
        <v>199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7" t="s">
        <v>200</v>
      </c>
    </row>
    <row r="3" customFormat="false" ht="3.75" hidden="false" customHeight="true" outlineLevel="0" collapsed="false">
      <c r="B3" s="38"/>
    </row>
    <row r="5" customFormat="false" ht="19.5" hidden="false" customHeight="true" outlineLevel="0" collapsed="false">
      <c r="B5" s="39" t="s">
        <v>201</v>
      </c>
    </row>
    <row r="6" customFormat="false" ht="48" hidden="false" customHeight="true" outlineLevel="0" collapsed="false">
      <c r="B6" s="40" t="s">
        <v>202</v>
      </c>
    </row>
    <row r="8" customFormat="false" ht="19.5" hidden="false" customHeight="true" outlineLevel="0" collapsed="false">
      <c r="B8" s="39" t="s">
        <v>203</v>
      </c>
    </row>
    <row r="9" customFormat="false" ht="61.5" hidden="false" customHeight="true" outlineLevel="0" collapsed="false">
      <c r="B9" s="40" t="s">
        <v>204</v>
      </c>
    </row>
    <row r="11" customFormat="false" ht="19.5" hidden="false" customHeight="true" outlineLevel="0" collapsed="false">
      <c r="B11" s="39" t="s">
        <v>205</v>
      </c>
    </row>
    <row r="12" customFormat="false" ht="75.75" hidden="false" customHeight="true" outlineLevel="0" collapsed="false">
      <c r="B12" s="40" t="s">
        <v>206</v>
      </c>
    </row>
    <row r="14" customFormat="false" ht="19.5" hidden="false" customHeight="true" outlineLevel="0" collapsed="false">
      <c r="B14" s="39" t="s">
        <v>207</v>
      </c>
    </row>
    <row r="15" customFormat="false" ht="61.5" hidden="false" customHeight="true" outlineLevel="0" collapsed="false">
      <c r="B15" s="40" t="s">
        <v>208</v>
      </c>
    </row>
    <row r="17" customFormat="false" ht="19.5" hidden="false" customHeight="true" outlineLevel="0" collapsed="false">
      <c r="B17" s="39" t="s">
        <v>209</v>
      </c>
    </row>
    <row r="18" customFormat="false" ht="33.75" hidden="false" customHeight="true" outlineLevel="0" collapsed="false">
      <c r="B18" s="40" t="s">
        <v>210</v>
      </c>
    </row>
    <row r="20" customFormat="false" ht="19.5" hidden="false" customHeight="true" outlineLevel="0" collapsed="false">
      <c r="B20" s="39" t="s">
        <v>211</v>
      </c>
    </row>
    <row r="21" customFormat="false" ht="33.75" hidden="false" customHeight="true" outlineLevel="0" collapsed="false">
      <c r="B21" s="40" t="s">
        <v>212</v>
      </c>
    </row>
    <row r="23" customFormat="false" ht="21.75" hidden="false" customHeight="true" outlineLevel="0" collapsed="false">
      <c r="B23" s="41" t="s">
        <v>213</v>
      </c>
    </row>
    <row r="25" customFormat="false" ht="18" hidden="false" customHeight="true" outlineLevel="0" collapsed="false">
      <c r="B25" s="42" t="s">
        <v>214</v>
      </c>
    </row>
    <row r="26" customFormat="false" ht="201.75" hidden="false" customHeight="true" outlineLevel="0" collapsed="false">
      <c r="B26" s="43" t="s">
        <v>215</v>
      </c>
    </row>
    <row r="28" customFormat="false" ht="18" hidden="false" customHeight="true" outlineLevel="0" collapsed="false">
      <c r="B28" s="44" t="s">
        <v>216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2026-05-15T18:53:48Z</dcterms:created>
  <dc:creator>openpyxl</dc:creator>
  <dc:description/>
  <dc:language>en-GB</dc:language>
  <cp:lastModifiedBy/>
  <dcterms:modified xsi:type="dcterms:W3CDTF">2026-05-15T18:53:48Z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