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ortfolio_Runoff" sheetId="3" state="visible" r:id="rId5"/>
    <sheet name="Fund_Economics" sheetId="4" state="visible" r:id="rId6"/>
    <sheet name="Buyer_Returns" sheetId="5" state="visible" r:id="rId7"/>
    <sheet name="Seller_Returns" sheetId="6" state="visible" r:id="rId8"/>
    <sheet name="Checks" sheetId="7" state="visible" r:id="rId9"/>
    <sheet name="Disclaimer" sheetId="8" state="visible" r:id="rId10"/>
  </sheets>
  <definedNames>
    <definedName function="false" hidden="false" name="Buyer_Disc_Rate" vbProcedure="false">Assumptions!$C$51</definedName>
    <definedName function="false" hidden="false" name="Buyer_Price" vbProcedure="false">Assumptions!$C$26</definedName>
    <definedName function="false" hidden="false" name="Buyer_Price_Pct" vbProcedure="false">Assumptions!$C$25</definedName>
    <definedName function="false" hidden="false" name="Carry_Pct" vbProcedure="false">Assumptions!$C$46</definedName>
    <definedName function="false" hidden="false" name="Catchup_Pct" vbProcedure="false">Assumptions!$C$48</definedName>
    <definedName function="false" hidden="false" name="Discount_To_NAV" vbProcedure="false">Assumptions!$C$24</definedName>
    <definedName function="false" hidden="false" name="Exit_Ramp_Y1" vbProcedure="false">Assumptions!$C$29</definedName>
    <definedName function="false" hidden="false" name="Exit_Ramp_Y2" vbProcedure="false">Assumptions!$C$30</definedName>
    <definedName function="false" hidden="false" name="Exit_Ramp_Y3" vbProcedure="false">Assumptions!$C$31</definedName>
    <definedName function="false" hidden="false" name="Exit_Ramp_Y4" vbProcedure="false">Assumptions!$C$32</definedName>
    <definedName function="false" hidden="false" name="Exit_Ramp_Y5" vbProcedure="false">Assumptions!$C$33</definedName>
    <definedName function="false" hidden="false" name="Exit_Ramp_Y6" vbProcedure="false">Assumptions!$C$34</definedName>
    <definedName function="false" hidden="false" name="Exit_Ramp_Y7" vbProcedure="false">Assumptions!$C$35</definedName>
    <definedName function="false" hidden="false" name="Fee_Base" vbProcedure="false">Assumptions!$C$45</definedName>
    <definedName function="false" hidden="false" name="Fund_Age_At_Sale" vbProcedure="false">Assumptions!$C$8</definedName>
    <definedName function="false" hidden="false" name="Fund_Life" vbProcedure="false">Assumptions!$C$7</definedName>
    <definedName function="false" hidden="false" name="Fund_Size" vbProcedure="false">Assumptions!$C$6</definedName>
    <definedName function="false" hidden="false" name="Gross_MOIC_Winners" vbProcedure="false">Assumptions!$C$38</definedName>
    <definedName function="false" hidden="false" name="Hurdle_Rate" vbProcedure="false">Assumptions!$C$47</definedName>
    <definedName function="false" hidden="false" name="LP_Called" vbProcedure="false">Assumptions!$C$13</definedName>
    <definedName function="false" hidden="false" name="LP_Commitment" vbProcedure="false">Assumptions!$C$12</definedName>
    <definedName function="false" hidden="false" name="LP_Dist_Received" vbProcedure="false">Assumptions!$C$15</definedName>
    <definedName function="false" hidden="false" name="LP_NAV" vbProcedure="false">Assumptions!$C$16</definedName>
    <definedName function="false" hidden="false" name="LP_Uncalled" vbProcedure="false">Assumptions!$C$14</definedName>
    <definedName function="false" hidden="false" name="Mgmt_Fee_Rate" vbProcedure="false">Assumptions!$C$44</definedName>
    <definedName function="false" hidden="false" name="Partial_MOIC" vbProcedure="false">Assumptions!$C$41</definedName>
    <definedName function="false" hidden="false" name="Partial_Pct" vbProcedure="false">Assumptions!$C$40</definedName>
    <definedName function="false" hidden="false" name="Remaining_Life" vbProcedure="false">Assumptions!$C$9</definedName>
    <definedName function="false" hidden="false" name="Target_IRR" vbProcedure="false">Assumptions!$C$52</definedName>
    <definedName function="false" hidden="false" name="Target_MOIC" vbProcedure="false">Assumptions!$C$53</definedName>
    <definedName function="false" hidden="false" name="Total_Invested" vbProcedure="false">Assumptions!$C$19</definedName>
    <definedName function="false" hidden="false" name="Total_Realised" vbProcedure="false">Assumptions!$C$20</definedName>
    <definedName function="false" hidden="false" name="Unrealised_FV" vbProcedure="false">Assumptions!$C$21</definedName>
    <definedName function="false" hidden="false" name="Write_Off_Pct" vbProcedure="false">Assumptions!$C$39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<sst xmlns="http://schemas.openxmlformats.org/spreadsheetml/2006/main" count="280" uniqueCount="232">
  <si>
    <t xml:space="preserve">Secondary Sale Model</t>
  </si>
  <si>
    <t xml:space="preserve">FINAMODEL.com</t>
  </si>
  <si>
    <t xml:space="preserve">LP interest transaction</t>
  </si>
  <si>
    <t xml:space="preserve">Sheet</t>
  </si>
  <si>
    <t xml:space="preserve">Description</t>
  </si>
  <si>
    <t xml:space="preserve">Tab Colour</t>
  </si>
  <si>
    <t xml:space="preserve">Cover</t>
  </si>
  <si>
    <t xml:space="preserve">Title and navigation</t>
  </si>
  <si>
    <t xml:space="preserve">Dark Blue</t>
  </si>
  <si>
    <t xml:space="preserve">Assumptions</t>
  </si>
  <si>
    <t xml:space="preserve">Fund, transaction, portfolio, pricing</t>
  </si>
  <si>
    <t xml:space="preserve">Light Blue</t>
  </si>
  <si>
    <t xml:space="preserve">Portfolio_Runoff</t>
  </si>
  <si>
    <t xml:space="preserve">Remaining exit schedule and proceeds</t>
  </si>
  <si>
    <t xml:space="preserve">Green</t>
  </si>
  <si>
    <t xml:space="preserve">Fund_Economics</t>
  </si>
  <si>
    <t xml:space="preserve">Fees, carry, net distributions</t>
  </si>
  <si>
    <t xml:space="preserve">Orange</t>
  </si>
  <si>
    <t xml:space="preserve">Buyer_Returns</t>
  </si>
  <si>
    <t xml:space="preserve">Buyer cash flows, IRR, MOIC, NPV</t>
  </si>
  <si>
    <t xml:space="preserve">Grey</t>
  </si>
  <si>
    <t xml:space="preserve">Seller_Returns</t>
  </si>
  <si>
    <t xml:space="preserve">Seller lifetime returns and counterfactual</t>
  </si>
  <si>
    <t xml:space="preserve">Checks</t>
  </si>
  <si>
    <t xml:space="preserve">Validation checks</t>
  </si>
  <si>
    <t xml:space="preserve">Red</t>
  </si>
  <si>
    <t xml:space="preserve">About this model</t>
  </si>
  <si>
    <t xml:space="preserve">Model secondary sales of private company stakes across buyer types (strategic, secondary fund, secondary buyer) and exit multiples. The model evaluates valuation ranges by buyer cohort, calculates holding period returns under different exit scenarios (1x to 2x MOIC), and shows tax impact on net proceeds by equity holder class. It helps secondaries traders, employee option holders, and early-stage investors understand downside (buyer walk-away prices) vs upside (strategic premium) without optimism bias.
The model supports multi-buyer valuation scenarios: strategics price based on synergy (often 1.0-1.5x cost basis in down markets); secondary funds use NAV-based pricing (typically 0.8-1.0x recent round valuation); and secondary buyers demand distressed discounts (0.5-0.8x). Holding period sensitivity shows how an additional 12-24 months of company growth changes exit multiples. Tax treatment distinguishes ordinary income from capital gains and models the impact of preferred vs common liquidation preferences.
Essential for founders evaluating partial liquidity, early employees considering option exercises, and secondaries traders building LPs for secondary funds. Avoids the "optimistic exit multiple" error that plagues early-stage valuations.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</si>
  <si>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</si>
  <si>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</si>
  <si>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</si>
  <si>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</si>
  <si>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Transaction parameters</t>
  </si>
  <si>
    <t xml:space="preserve">Parameter</t>
  </si>
  <si>
    <t xml:space="preserve">Value</t>
  </si>
  <si>
    <t xml:space="preserve">Unit</t>
  </si>
  <si>
    <t xml:space="preserve">Notes</t>
  </si>
  <si>
    <t xml:space="preserve">Fund Overview</t>
  </si>
  <si>
    <t xml:space="preserve">Fund Size</t>
  </si>
  <si>
    <t xml:space="preserve">$M</t>
  </si>
  <si>
    <t xml:space="preserve">Total committed capital</t>
  </si>
  <si>
    <t xml:space="preserve">Fund Life</t>
  </si>
  <si>
    <t xml:space="preserve">years</t>
  </si>
  <si>
    <t xml:space="preserve">Including extensions</t>
  </si>
  <si>
    <t xml:space="preserve">Fund Age at Sale</t>
  </si>
  <si>
    <t xml:space="preserve">Years since vintage</t>
  </si>
  <si>
    <t xml:space="preserve">Remaining Life</t>
  </si>
  <si>
    <t xml:space="preserve">From transaction date</t>
  </si>
  <si>
    <t xml:space="preserve">Seller Position</t>
  </si>
  <si>
    <t xml:space="preserve">LP Commitment</t>
  </si>
  <si>
    <t xml:space="preserve">Seller's total commitment</t>
  </si>
  <si>
    <t xml:space="preserve">Capital Called</t>
  </si>
  <si>
    <t xml:space="preserve">Called to date</t>
  </si>
  <si>
    <t xml:space="preserve">Unfunded Commitment</t>
  </si>
  <si>
    <t xml:space="preserve">Remaining obligation</t>
  </si>
  <si>
    <t xml:space="preserve">Distributions Received</t>
  </si>
  <si>
    <t xml:space="preserve">Cumul distributions to seller</t>
  </si>
  <si>
    <t xml:space="preserve">LP NAV</t>
  </si>
  <si>
    <t xml:space="preserve">Reported net asset value</t>
  </si>
  <si>
    <t xml:space="preserve">Portfolio Composition</t>
  </si>
  <si>
    <t xml:space="preserve">Total Invested</t>
  </si>
  <si>
    <t xml:space="preserve">Fund-level cost basis</t>
  </si>
  <si>
    <t xml:space="preserve">Total Realised</t>
  </si>
  <si>
    <t xml:space="preserve">Fund-level realisations</t>
  </si>
  <si>
    <t xml:space="preserve">Unrealised Fair Value</t>
  </si>
  <si>
    <t xml:space="preserve">Fund-level NAV of portfolio</t>
  </si>
  <si>
    <t xml:space="preserve">Transaction Pricing</t>
  </si>
  <si>
    <t xml:space="preserve">Discount to NAV</t>
  </si>
  <si>
    <t xml:space="preserve">%</t>
  </si>
  <si>
    <t xml:space="preserve">Secondary market discount</t>
  </si>
  <si>
    <t xml:space="preserve">Buyer Price (% NAV)</t>
  </si>
  <si>
    <t xml:space="preserve">1 - Discount</t>
  </si>
  <si>
    <t xml:space="preserve">Buyer Price</t>
  </si>
  <si>
    <t xml:space="preserve">Price = NAV x (1 - Discount)</t>
  </si>
  <si>
    <t xml:space="preserve">Exit Ramp (% exiting)</t>
  </si>
  <si>
    <t xml:space="preserve">Year 1 Exit %</t>
  </si>
  <si>
    <t xml:space="preserve">Immediate pipeline exits</t>
  </si>
  <si>
    <t xml:space="preserve">Year 2 Exit %</t>
  </si>
  <si>
    <t xml:space="preserve">Near-term realisations</t>
  </si>
  <si>
    <t xml:space="preserve">Year 3 Exit %</t>
  </si>
  <si>
    <t xml:space="preserve">Peak exit activity</t>
  </si>
  <si>
    <t xml:space="preserve">Year 4 Exit %</t>
  </si>
  <si>
    <t xml:space="preserve">Continued realisations</t>
  </si>
  <si>
    <t xml:space="preserve">Year 5 Exit %</t>
  </si>
  <si>
    <t xml:space="preserve">Late-stage exits</t>
  </si>
  <si>
    <t xml:space="preserve">Year 6 Exit %</t>
  </si>
  <si>
    <t xml:space="preserve">Tail-end exits</t>
  </si>
  <si>
    <t xml:space="preserve">Year 7 Exit %</t>
  </si>
  <si>
    <t xml:space="preserve">Final residual</t>
  </si>
  <si>
    <t xml:space="preserve">Return Profile</t>
  </si>
  <si>
    <t xml:space="preserve">Uplift vs NAV (Winners)</t>
  </si>
  <si>
    <t xml:space="preserve">x</t>
  </si>
  <si>
    <t xml:space="preserve">Winners exit at 130% of NAV mark</t>
  </si>
  <si>
    <t xml:space="preserve">Write-Off Rate</t>
  </si>
  <si>
    <t xml:space="preserve">% of portfolio by value</t>
  </si>
  <si>
    <t xml:space="preserve">Partial Return %</t>
  </si>
  <si>
    <t xml:space="preserve">% returning below plan</t>
  </si>
  <si>
    <t xml:space="preserve">Partial Recovery</t>
  </si>
  <si>
    <t xml:space="preserve">Recovery vs NAV for partials</t>
  </si>
  <si>
    <t xml:space="preserve">Fund Fees (Remaining)</t>
  </si>
  <si>
    <t xml:space="preserve">Mgmt Fee Rate</t>
  </si>
  <si>
    <t xml:space="preserve">Annual, on fee base</t>
  </si>
  <si>
    <t xml:space="preserve">Fee Base</t>
  </si>
  <si>
    <t xml:space="preserve">Invested capital (harvest period)</t>
  </si>
  <si>
    <t xml:space="preserve">Carried Interest</t>
  </si>
  <si>
    <t xml:space="preserve">GP share above hurdle</t>
  </si>
  <si>
    <t xml:space="preserve">Hurdle Rate</t>
  </si>
  <si>
    <t xml:space="preserve">Compound annual preferred return</t>
  </si>
  <si>
    <t xml:space="preserve">GP Catch-Up</t>
  </si>
  <si>
    <t xml:space="preserve">100% to GP until at carry share</t>
  </si>
  <si>
    <t xml:space="preserve">Buyer Assumptions</t>
  </si>
  <si>
    <t xml:space="preserve">Buyer Discount Rate</t>
  </si>
  <si>
    <t xml:space="preserve">For NPV calculation</t>
  </si>
  <si>
    <t xml:space="preserve">Target IRR</t>
  </si>
  <si>
    <t xml:space="preserve">Buyer's minimum hurdle</t>
  </si>
  <si>
    <t xml:space="preserve">Target MOIC</t>
  </si>
  <si>
    <t xml:space="preserve">Buyer's minimum multiple</t>
  </si>
  <si>
    <t xml:space="preserve">Portfolio Runoff</t>
  </si>
  <si>
    <t xml:space="preserve">Exit schedule and proceeds</t>
  </si>
  <si>
    <t xml:space="preserve">Year</t>
  </si>
  <si>
    <t xml:space="preserve">Year Number</t>
  </si>
  <si>
    <t xml:space="preserve">Remaining Fund Life</t>
  </si>
  <si>
    <t xml:space="preserve">Unrealised Portfolio ($M)</t>
  </si>
  <si>
    <t xml:space="preserve">Opening Fair Value</t>
  </si>
  <si>
    <t xml:space="preserve">Exit %</t>
  </si>
  <si>
    <t xml:space="preserve">Exiting Fair Value</t>
  </si>
  <si>
    <t xml:space="preserve">Closing Fair Value</t>
  </si>
  <si>
    <t xml:space="preserve">Exit Proceeds ($M)</t>
  </si>
  <si>
    <t xml:space="preserve">Winner Proceeds</t>
  </si>
  <si>
    <t xml:space="preserve">Partial Proceeds</t>
  </si>
  <si>
    <t xml:space="preserve">Write-Off Proceeds</t>
  </si>
  <si>
    <t xml:space="preserve">Gross Exit Proceeds</t>
  </si>
  <si>
    <t xml:space="preserve">Cumul Gross Proceeds</t>
  </si>
  <si>
    <t xml:space="preserve">Capital Calls ($M)</t>
  </si>
  <si>
    <t xml:space="preserve">Uncalled Opening</t>
  </si>
  <si>
    <t xml:space="preserve">Capital Call</t>
  </si>
  <si>
    <t xml:space="preserve">Uncalled Closing</t>
  </si>
  <si>
    <t xml:space="preserve">Fund Economics</t>
  </si>
  <si>
    <t xml:space="preserve">Management Fees ($M)</t>
  </si>
  <si>
    <t xml:space="preserve">Management Fee</t>
  </si>
  <si>
    <t xml:space="preserve">Cumul Management Fees</t>
  </si>
  <si>
    <t xml:space="preserve">Carried Interest ($M)</t>
  </si>
  <si>
    <t xml:space="preserve">Cumul Dist (Pre-Txn)</t>
  </si>
  <si>
    <t xml:space="preserve">Cumul Total Realisations</t>
  </si>
  <si>
    <t xml:space="preserve">Cumul Capital Called</t>
  </si>
  <si>
    <t xml:space="preserve">Hurdle Amount</t>
  </si>
  <si>
    <t xml:space="preserve">Excess Over Hurdle</t>
  </si>
  <si>
    <t xml:space="preserve">Cumul Carried Interest</t>
  </si>
  <si>
    <t xml:space="preserve">Period Carry</t>
  </si>
  <si>
    <t xml:space="preserve">Net Distributions ($M)</t>
  </si>
  <si>
    <t xml:space="preserve">Gross Distributions</t>
  </si>
  <si>
    <t xml:space="preserve">Less: Carried Interest</t>
  </si>
  <si>
    <t xml:space="preserve">Less: Management Fee</t>
  </si>
  <si>
    <t xml:space="preserve">Net Distribution</t>
  </si>
  <si>
    <t xml:space="preserve">Cumul Net Distribution</t>
  </si>
  <si>
    <t xml:space="preserve">Buyer Returns</t>
  </si>
  <si>
    <t xml:space="preserve">Cash flows and performance</t>
  </si>
  <si>
    <t xml:space="preserve">Cash Flows ($M)</t>
  </si>
  <si>
    <t xml:space="preserve">Purchase Price</t>
  </si>
  <si>
    <t xml:space="preserve">Capital Calls</t>
  </si>
  <si>
    <t xml:space="preserve">Total Outflow</t>
  </si>
  <si>
    <t xml:space="preserve">Net Distributions</t>
  </si>
  <si>
    <t xml:space="preserve">Net Cash Flow</t>
  </si>
  <si>
    <t xml:space="preserve">Cumul Net Cash Flow</t>
  </si>
  <si>
    <t xml:space="preserve">Return Metrics</t>
  </si>
  <si>
    <t xml:space="preserve">Cumul Total Invested</t>
  </si>
  <si>
    <t xml:space="preserve">Cumul Distributions</t>
  </si>
  <si>
    <t xml:space="preserve">Buyer MOIC</t>
  </si>
  <si>
    <t xml:space="preserve">Buyer IRR</t>
  </si>
  <si>
    <t xml:space="preserve">vs Target IRR</t>
  </si>
  <si>
    <t xml:space="preserve">vs Target MOIC</t>
  </si>
  <si>
    <t xml:space="preserve">NAV &amp; Unrealised ($M)</t>
  </si>
  <si>
    <t xml:space="preserve">Unrealised (Buyer Share)</t>
  </si>
  <si>
    <t xml:space="preserve">TVPI</t>
  </si>
  <si>
    <t xml:space="preserve">DPI</t>
  </si>
  <si>
    <t xml:space="preserve">RVPI</t>
  </si>
  <si>
    <t xml:space="preserve">NPV Analysis ($M)</t>
  </si>
  <si>
    <t xml:space="preserve">PV Factor</t>
  </si>
  <si>
    <t xml:space="preserve">PV of Cash Flow</t>
  </si>
  <si>
    <t xml:space="preserve">Cumul NPV</t>
  </si>
  <si>
    <t xml:space="preserve">Seller Returns</t>
  </si>
  <si>
    <t xml:space="preserve">Lifetime returns and counterfactual</t>
  </si>
  <si>
    <t xml:space="preserve">Seller Cash Flows ($M)</t>
  </si>
  <si>
    <t xml:space="preserve">Distributions (Pre-Sale)</t>
  </si>
  <si>
    <t xml:space="preserve">Sale Proceeds</t>
  </si>
  <si>
    <t xml:space="preserve">Seller Metrics</t>
  </si>
  <si>
    <t xml:space="preserve">Total Returned</t>
  </si>
  <si>
    <t xml:space="preserve">Seller MOIC</t>
  </si>
  <si>
    <t xml:space="preserve">Seller IRR</t>
  </si>
  <si>
    <t xml:space="preserve">Counterfactual: Hold</t>
  </si>
  <si>
    <t xml:space="preserve">Hold Distributions</t>
  </si>
  <si>
    <t xml:space="preserve">Hold Total Return</t>
  </si>
  <si>
    <t xml:space="preserve">Hold MOIC</t>
  </si>
  <si>
    <t xml:space="preserve">Hold IRR</t>
  </si>
  <si>
    <t xml:space="preserve">Sale vs Hold</t>
  </si>
  <si>
    <t xml:space="preserve">MOIC Difference</t>
  </si>
  <si>
    <t xml:space="preserve">IRR Difference</t>
  </si>
  <si>
    <t xml:space="preserve">Check</t>
  </si>
  <si>
    <t xml:space="preserve">Result</t>
  </si>
  <si>
    <t xml:space="preserve">Exit Ramp Sums to 100%</t>
  </si>
  <si>
    <t xml:space="preserve">Sum of exit ramp percentages must equal 100%</t>
  </si>
  <si>
    <t xml:space="preserve">Uncalled Reaches Zero</t>
  </si>
  <si>
    <t xml:space="preserve">All unfunded commitments called by fund maturity</t>
  </si>
  <si>
    <t xml:space="preserve">Net Dist Non-Negative</t>
  </si>
  <si>
    <t xml:space="preserve">Net distributions to LPs never negative</t>
  </si>
  <si>
    <t xml:space="preserve">Buyer Payback</t>
  </si>
  <si>
    <t xml:space="preserve">Buyer achieves positive cumul CF by maturity</t>
  </si>
  <si>
    <t xml:space="preserve">NAV Non-Negative</t>
  </si>
  <si>
    <t xml:space="preserve">Portfolio fair value never goes negative</t>
  </si>
  <si>
    <t xml:space="preserve">Buyer MOIC &gt; 1.0x</t>
  </si>
  <si>
    <t xml:space="preserve">Buyer earns positive return with base assumptions</t>
  </si>
  <si>
    <t xml:space="preserve">Price in Range (60-100%)</t>
  </si>
  <si>
    <t xml:space="preserve">Secondary pricing typically 60-100% of NAV</t>
  </si>
  <si>
    <t xml:space="preserve">Remaining Life Consistent</t>
  </si>
  <si>
    <t xml:space="preserve">Fund_Life - Age = Remaining_Life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</si>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</sst>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0"/>
    <numFmt numFmtId="166" formatCode="#,##0.00"/>
    <numFmt numFmtId="167" formatCode="0.00%"/>
    <numFmt numFmtId="168" formatCode="0.00\x"/>
    <numFmt numFmtId="169" formatCode="0"/>
    <numFmt numFmtId="170" formatCode="0.000"/>
  </numFmts>
  <fonts count="26">
    <font>
      <sz val="11"/>
      <name val="Arial"/>
      <family val="0"/>
      <charset val="1"/>
    </font>
    <font>
      <sz val="10"/>
      <name val="Arial"/>
      <family val="0"/>
    </font>
    <font>
      <sz val="10"/>
      <name val="Arial"/>
      <family val="0"/>
    </font>
    <font>
      <sz val="10"/>
      <name val="Arial"/>
      <family val="0"/>
    </font>
    <font>
      <sz val="11"/>
      <color theme="0"/>
      <name val="Calibri"/>
      <family val="0"/>
      <charset val="1"/>
    </font>
    <font>
      <sz val="11"/>
      <color theme="0"/>
      <name val="Arial"/>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b val="true"/>
      <sz val="11"/>
      <color theme="3"/>
      <name val="Arial"/>
      <family val="0"/>
      <charset val="1"/>
    </font>
    <font>
      <sz val="11"/>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left" vertical="bottom"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18" fillId="4"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5" fontId="19" fillId="5" borderId="0" xfId="0" applyFont="true" applyBorder="false" applyAlignment="true" applyProtection="false">
      <alignment horizontal="right" vertical="bottom" textRotation="0" wrapText="false" indent="0" shrinkToFit="false"/>
      <protection locked="true" hidden="false"/>
    </xf>
    <xf numFmtId="166" fontId="19" fillId="5" borderId="0" xfId="0" applyFont="true" applyBorder="false" applyAlignment="true" applyProtection="false">
      <alignment horizontal="right" vertical="bottom" textRotation="0" wrapText="false" indent="0" shrinkToFit="false"/>
      <protection locked="true" hidden="false"/>
    </xf>
    <xf numFmtId="167" fontId="19" fillId="5" borderId="0" xfId="0" applyFont="true" applyBorder="false" applyAlignment="true" applyProtection="false">
      <alignment horizontal="right" vertical="bottom" textRotation="0" wrapText="false" indent="0" shrinkToFit="false"/>
      <protection locked="true" hidden="false"/>
    </xf>
    <xf numFmtId="167" fontId="10"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right" vertical="bottom" textRotation="0" wrapText="false" indent="0" shrinkToFit="false"/>
      <protection locked="true" hidden="false"/>
    </xf>
    <xf numFmtId="168" fontId="19" fillId="5" borderId="0" xfId="0" applyFont="true" applyBorder="false" applyAlignment="true" applyProtection="false">
      <alignment horizontal="right" vertical="bottom" textRotation="0" wrapText="false" indent="0" shrinkToFit="false"/>
      <protection locked="true" hidden="false"/>
    </xf>
    <xf numFmtId="169" fontId="17" fillId="2" borderId="0" xfId="0" applyFont="true" applyBorder="false" applyAlignment="true" applyProtection="false">
      <alignment horizontal="center"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18" fillId="4" borderId="0" xfId="0" applyFont="true" applyBorder="false" applyAlignment="tru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4" fontId="10" fillId="0" borderId="2" xfId="0" applyFont="true" applyBorder="true" applyAlignment="true" applyProtection="false">
      <alignment horizontal="lef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44"/>
    <col collapsed="false" customWidth="true" hidden="false" outlineLevel="0" max="4" min="4" style="0" width="14"/>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0</v>
      </c>
      <c r="C2" s="2"/>
      <c r="D2" s="4"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6"/>
      <c r="C4" s="6"/>
      <c r="D4" s="6"/>
    </row>
    <row r="5" customFormat="false" ht="15" hidden="false" customHeight="false" outlineLevel="0" collapsed="false">
      <c r="B5" s="7" t="s">
        <v>3</v>
      </c>
      <c r="C5" s="7" t="s">
        <v>4</v>
      </c>
      <c r="D5" s="7" t="s">
        <v>5</v>
      </c>
    </row>
    <row r="6" customFormat="false" ht="15" hidden="false" customHeight="false" outlineLevel="0" collapsed="false">
      <c r="B6" s="8" t="s">
        <v>6</v>
      </c>
      <c r="C6" s="8" t="s">
        <v>7</v>
      </c>
      <c r="D6" s="9" t="s">
        <v>8</v>
      </c>
    </row>
    <row r="7" customFormat="false" ht="15" hidden="false" customHeight="false" outlineLevel="0" collapsed="false">
      <c r="B7" s="8" t="s">
        <v>9</v>
      </c>
      <c r="C7" s="8" t="s">
        <v>10</v>
      </c>
      <c r="D7" s="9" t="s">
        <v>11</v>
      </c>
    </row>
    <row r="8" customFormat="false" ht="15" hidden="false" customHeight="false" outlineLevel="0" collapsed="false">
      <c r="B8" s="8" t="s">
        <v>12</v>
      </c>
      <c r="C8" s="8" t="s">
        <v>13</v>
      </c>
      <c r="D8" s="9" t="s">
        <v>14</v>
      </c>
    </row>
    <row r="9" customFormat="false" ht="15" hidden="false" customHeight="false" outlineLevel="0" collapsed="false">
      <c r="B9" s="8" t="s">
        <v>15</v>
      </c>
      <c r="C9" s="8" t="s">
        <v>16</v>
      </c>
      <c r="D9" s="9" t="s">
        <v>17</v>
      </c>
    </row>
    <row r="10" customFormat="false" ht="15" hidden="false" customHeight="false" outlineLevel="0" collapsed="false">
      <c r="B10" s="8" t="s">
        <v>18</v>
      </c>
      <c r="C10" s="8" t="s">
        <v>19</v>
      </c>
      <c r="D10" s="9" t="s">
        <v>20</v>
      </c>
    </row>
    <row r="11" customFormat="false" ht="15" hidden="false" customHeight="false" outlineLevel="0" collapsed="false">
      <c r="B11" s="8" t="s">
        <v>21</v>
      </c>
      <c r="C11" s="8" t="s">
        <v>22</v>
      </c>
      <c r="D11" s="9" t="s">
        <v>20</v>
      </c>
    </row>
    <row r="12" customFormat="false" ht="15" hidden="false" customHeight="false" outlineLevel="0" collapsed="false">
      <c r="B12" s="8" t="s">
        <v>23</v>
      </c>
      <c r="C12" s="8" t="s">
        <v>24</v>
      </c>
      <c r="D12" s="9" t="s">
        <v>25</v>
      </c>
    </row>
    <row r="15" customFormat="false" ht="19.5" hidden="false" customHeight="true" outlineLevel="0" collapsed="false">
      <c r="B15" s="10" t="s">
        <v>26</v>
      </c>
      <c r="C15" s="11"/>
      <c r="D15" s="11"/>
      <c r="E15" s="11"/>
      <c r="F15" s="11"/>
      <c r="G15" s="11"/>
    </row>
    <row r="16" customFormat="false" ht="195.75" hidden="false" customHeight="true" outlineLevel="0" collapsed="false">
      <c r="B16" s="12" t="s">
        <v>27</v>
      </c>
      <c r="C16" s="12"/>
      <c r="D16" s="12"/>
      <c r="E16" s="12"/>
      <c r="F16" s="12"/>
      <c r="G16" s="12"/>
    </row>
    <row r="18" customFormat="false" ht="19.5" hidden="false" customHeight="true" outlineLevel="0" collapsed="false">
      <c r="B18" s="10" t="s">
        <v>28</v>
      </c>
      <c r="C18" s="11"/>
      <c r="D18" s="11"/>
      <c r="E18" s="11"/>
      <c r="F18" s="11"/>
      <c r="G18" s="11"/>
    </row>
    <row r="19" customFormat="false" ht="57" hidden="false" customHeight="true" outlineLevel="0" collapsed="false">
      <c r="B19" s="12" t="s">
        <v>29</v>
      </c>
      <c r="C19" s="12"/>
      <c r="D19" s="12"/>
      <c r="E19" s="12"/>
      <c r="F19" s="12"/>
      <c r="G19" s="12"/>
    </row>
    <row r="20" customFormat="false" ht="15" hidden="false" customHeight="false" outlineLevel="0" collapsed="false">
      <c r="B20" s="13" t="s">
        <v>30</v>
      </c>
      <c r="C20" s="13"/>
      <c r="D20" s="13"/>
      <c r="E20" s="13"/>
      <c r="F20" s="13"/>
      <c r="G20" s="13"/>
    </row>
    <row r="21" customFormat="false" ht="15" hidden="false" customHeight="false" outlineLevel="0" collapsed="false">
      <c r="B21" s="14" t="s">
        <v>31</v>
      </c>
    </row>
  </sheetData>
  <mergeCells count="3">
    <mergeCell ref="B16:G16"/>
    <mergeCell ref="B19:G19"/>
    <mergeCell ref="B20:G2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4"/>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1"/>
      <c r="B1" s="2"/>
      <c r="C1" s="2"/>
      <c r="D1" s="2"/>
      <c r="E1" s="2"/>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9</v>
      </c>
      <c r="C2" s="2"/>
      <c r="D2" s="2"/>
      <c r="E2" s="2"/>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32</v>
      </c>
      <c r="C3" s="2"/>
      <c r="D3" s="2"/>
      <c r="E3" s="2"/>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5" t="s">
        <v>33</v>
      </c>
      <c r="C4" s="16" t="s">
        <v>34</v>
      </c>
      <c r="D4" s="16" t="s">
        <v>35</v>
      </c>
      <c r="E4" s="16" t="s">
        <v>36</v>
      </c>
    </row>
    <row r="5" customFormat="false" ht="15" hidden="false" customHeight="false" outlineLevel="0" collapsed="false">
      <c r="B5" s="17" t="s">
        <v>37</v>
      </c>
      <c r="C5" s="18"/>
      <c r="D5" s="18"/>
      <c r="E5" s="18"/>
    </row>
    <row r="6" customFormat="false" ht="15" hidden="false" customHeight="false" outlineLevel="0" collapsed="false">
      <c r="B6" s="8" t="s">
        <v>38</v>
      </c>
      <c r="C6" s="19" t="n">
        <v>500</v>
      </c>
      <c r="D6" s="9" t="s">
        <v>39</v>
      </c>
      <c r="E6" s="9" t="s">
        <v>40</v>
      </c>
    </row>
    <row r="7" customFormat="false" ht="15" hidden="false" customHeight="false" outlineLevel="0" collapsed="false">
      <c r="B7" s="8" t="s">
        <v>41</v>
      </c>
      <c r="C7" s="20" t="n">
        <v>12</v>
      </c>
      <c r="D7" s="9" t="s">
        <v>42</v>
      </c>
      <c r="E7" s="9" t="s">
        <v>43</v>
      </c>
    </row>
    <row r="8" customFormat="false" ht="15" hidden="false" customHeight="false" outlineLevel="0" collapsed="false">
      <c r="B8" s="8" t="s">
        <v>44</v>
      </c>
      <c r="C8" s="20" t="n">
        <v>5</v>
      </c>
      <c r="D8" s="9" t="s">
        <v>42</v>
      </c>
      <c r="E8" s="9" t="s">
        <v>45</v>
      </c>
    </row>
    <row r="9" customFormat="false" ht="15" hidden="false" customHeight="false" outlineLevel="0" collapsed="false">
      <c r="B9" s="8" t="s">
        <v>46</v>
      </c>
      <c r="C9" s="20" t="n">
        <v>7</v>
      </c>
      <c r="D9" s="9" t="s">
        <v>42</v>
      </c>
      <c r="E9" s="9" t="s">
        <v>47</v>
      </c>
    </row>
    <row r="10" customFormat="false" ht="15" hidden="false" customHeight="false" outlineLevel="0" collapsed="false">
      <c r="B10" s="6"/>
      <c r="C10" s="6"/>
      <c r="D10" s="6"/>
      <c r="E10" s="6"/>
    </row>
    <row r="11" customFormat="false" ht="15" hidden="false" customHeight="false" outlineLevel="0" collapsed="false">
      <c r="B11" s="17" t="s">
        <v>48</v>
      </c>
      <c r="C11" s="18"/>
      <c r="D11" s="18"/>
      <c r="E11" s="18"/>
    </row>
    <row r="12" customFormat="false" ht="15" hidden="false" customHeight="false" outlineLevel="0" collapsed="false">
      <c r="B12" s="8" t="s">
        <v>49</v>
      </c>
      <c r="C12" s="19" t="n">
        <v>50</v>
      </c>
      <c r="D12" s="9" t="s">
        <v>39</v>
      </c>
      <c r="E12" s="9" t="s">
        <v>50</v>
      </c>
    </row>
    <row r="13" customFormat="false" ht="15" hidden="false" customHeight="false" outlineLevel="0" collapsed="false">
      <c r="B13" s="8" t="s">
        <v>51</v>
      </c>
      <c r="C13" s="19" t="n">
        <v>42.5</v>
      </c>
      <c r="D13" s="9" t="s">
        <v>39</v>
      </c>
      <c r="E13" s="9" t="s">
        <v>52</v>
      </c>
    </row>
    <row r="14" customFormat="false" ht="15" hidden="false" customHeight="false" outlineLevel="0" collapsed="false">
      <c r="B14" s="8" t="s">
        <v>53</v>
      </c>
      <c r="C14" s="19" t="n">
        <v>7.5</v>
      </c>
      <c r="D14" s="9" t="s">
        <v>39</v>
      </c>
      <c r="E14" s="9" t="s">
        <v>54</v>
      </c>
    </row>
    <row r="15" customFormat="false" ht="15" hidden="false" customHeight="false" outlineLevel="0" collapsed="false">
      <c r="B15" s="8" t="s">
        <v>55</v>
      </c>
      <c r="C15" s="19" t="n">
        <v>15</v>
      </c>
      <c r="D15" s="9" t="s">
        <v>39</v>
      </c>
      <c r="E15" s="9" t="s">
        <v>56</v>
      </c>
    </row>
    <row r="16" customFormat="false" ht="15" hidden="false" customHeight="false" outlineLevel="0" collapsed="false">
      <c r="B16" s="8" t="s">
        <v>57</v>
      </c>
      <c r="C16" s="19" t="n">
        <v>52</v>
      </c>
      <c r="D16" s="9" t="s">
        <v>39</v>
      </c>
      <c r="E16" s="9" t="s">
        <v>58</v>
      </c>
    </row>
    <row r="17" customFormat="false" ht="15" hidden="false" customHeight="false" outlineLevel="0" collapsed="false">
      <c r="B17" s="6"/>
      <c r="C17" s="6"/>
      <c r="D17" s="6"/>
      <c r="E17" s="6"/>
    </row>
    <row r="18" customFormat="false" ht="15" hidden="false" customHeight="false" outlineLevel="0" collapsed="false">
      <c r="B18" s="17" t="s">
        <v>59</v>
      </c>
      <c r="C18" s="18"/>
      <c r="D18" s="18"/>
      <c r="E18" s="18"/>
    </row>
    <row r="19" customFormat="false" ht="15" hidden="false" customHeight="false" outlineLevel="0" collapsed="false">
      <c r="B19" s="8" t="s">
        <v>60</v>
      </c>
      <c r="C19" s="19" t="n">
        <v>425</v>
      </c>
      <c r="D19" s="9" t="s">
        <v>39</v>
      </c>
      <c r="E19" s="9" t="s">
        <v>61</v>
      </c>
    </row>
    <row r="20" customFormat="false" ht="15" hidden="false" customHeight="false" outlineLevel="0" collapsed="false">
      <c r="B20" s="8" t="s">
        <v>62</v>
      </c>
      <c r="C20" s="19" t="n">
        <v>150</v>
      </c>
      <c r="D20" s="9" t="s">
        <v>39</v>
      </c>
      <c r="E20" s="9" t="s">
        <v>63</v>
      </c>
    </row>
    <row r="21" customFormat="false" ht="15" hidden="false" customHeight="false" outlineLevel="0" collapsed="false">
      <c r="B21" s="8" t="s">
        <v>64</v>
      </c>
      <c r="C21" s="19" t="n">
        <v>520</v>
      </c>
      <c r="D21" s="9" t="s">
        <v>39</v>
      </c>
      <c r="E21" s="9" t="s">
        <v>65</v>
      </c>
    </row>
    <row r="22" customFormat="false" ht="15" hidden="false" customHeight="false" outlineLevel="0" collapsed="false">
      <c r="B22" s="6"/>
      <c r="C22" s="6"/>
      <c r="D22" s="6"/>
      <c r="E22" s="6"/>
    </row>
    <row r="23" customFormat="false" ht="15" hidden="false" customHeight="false" outlineLevel="0" collapsed="false">
      <c r="B23" s="17" t="s">
        <v>66</v>
      </c>
      <c r="C23" s="18"/>
      <c r="D23" s="18"/>
      <c r="E23" s="18"/>
    </row>
    <row r="24" customFormat="false" ht="15" hidden="false" customHeight="false" outlineLevel="0" collapsed="false">
      <c r="B24" s="8" t="s">
        <v>67</v>
      </c>
      <c r="C24" s="21" t="n">
        <v>0.25</v>
      </c>
      <c r="D24" s="9" t="s">
        <v>68</v>
      </c>
      <c r="E24" s="9" t="s">
        <v>69</v>
      </c>
    </row>
    <row r="25" customFormat="false" ht="15" hidden="false" customHeight="false" outlineLevel="0" collapsed="false">
      <c r="B25" s="7" t="s">
        <v>70</v>
      </c>
      <c r="C25" s="22" t="n">
        <f aca="false">1-Discount_To_NAV</f>
        <v>0.75</v>
      </c>
      <c r="D25" s="23" t="s">
        <v>68</v>
      </c>
      <c r="E25" s="23" t="s">
        <v>71</v>
      </c>
    </row>
    <row r="26" customFormat="false" ht="15" hidden="false" customHeight="false" outlineLevel="0" collapsed="false">
      <c r="B26" s="7" t="s">
        <v>72</v>
      </c>
      <c r="C26" s="24" t="n">
        <f aca="false">LP_NAV*Buyer_Price_Pct</f>
        <v>39</v>
      </c>
      <c r="D26" s="23" t="s">
        <v>39</v>
      </c>
      <c r="E26" s="23" t="s">
        <v>73</v>
      </c>
    </row>
    <row r="27" customFormat="false" ht="15" hidden="false" customHeight="false" outlineLevel="0" collapsed="false">
      <c r="B27" s="6"/>
      <c r="C27" s="6"/>
      <c r="D27" s="6"/>
      <c r="E27" s="6"/>
    </row>
    <row r="28" customFormat="false" ht="15" hidden="false" customHeight="false" outlineLevel="0" collapsed="false">
      <c r="B28" s="17" t="s">
        <v>74</v>
      </c>
      <c r="C28" s="18"/>
      <c r="D28" s="18"/>
      <c r="E28" s="18"/>
    </row>
    <row r="29" customFormat="false" ht="15" hidden="false" customHeight="false" outlineLevel="0" collapsed="false">
      <c r="B29" s="8" t="s">
        <v>75</v>
      </c>
      <c r="C29" s="21" t="n">
        <v>0.1</v>
      </c>
      <c r="D29" s="9" t="s">
        <v>68</v>
      </c>
      <c r="E29" s="9" t="s">
        <v>76</v>
      </c>
    </row>
    <row r="30" customFormat="false" ht="15" hidden="false" customHeight="false" outlineLevel="0" collapsed="false">
      <c r="B30" s="8" t="s">
        <v>77</v>
      </c>
      <c r="C30" s="21" t="n">
        <v>0.15</v>
      </c>
      <c r="D30" s="9" t="s">
        <v>68</v>
      </c>
      <c r="E30" s="9" t="s">
        <v>78</v>
      </c>
    </row>
    <row r="31" customFormat="false" ht="15" hidden="false" customHeight="false" outlineLevel="0" collapsed="false">
      <c r="B31" s="8" t="s">
        <v>79</v>
      </c>
      <c r="C31" s="21" t="n">
        <v>0.25</v>
      </c>
      <c r="D31" s="9" t="s">
        <v>68</v>
      </c>
      <c r="E31" s="9" t="s">
        <v>80</v>
      </c>
    </row>
    <row r="32" customFormat="false" ht="15" hidden="false" customHeight="false" outlineLevel="0" collapsed="false">
      <c r="B32" s="8" t="s">
        <v>81</v>
      </c>
      <c r="C32" s="21" t="n">
        <v>0.2</v>
      </c>
      <c r="D32" s="9" t="s">
        <v>68</v>
      </c>
      <c r="E32" s="9" t="s">
        <v>82</v>
      </c>
    </row>
    <row r="33" customFormat="false" ht="15" hidden="false" customHeight="false" outlineLevel="0" collapsed="false">
      <c r="B33" s="8" t="s">
        <v>83</v>
      </c>
      <c r="C33" s="21" t="n">
        <v>0.15</v>
      </c>
      <c r="D33" s="9" t="s">
        <v>68</v>
      </c>
      <c r="E33" s="9" t="s">
        <v>84</v>
      </c>
    </row>
    <row r="34" customFormat="false" ht="15" hidden="false" customHeight="false" outlineLevel="0" collapsed="false">
      <c r="B34" s="8" t="s">
        <v>85</v>
      </c>
      <c r="C34" s="21" t="n">
        <v>0.1</v>
      </c>
      <c r="D34" s="9" t="s">
        <v>68</v>
      </c>
      <c r="E34" s="9" t="s">
        <v>86</v>
      </c>
    </row>
    <row r="35" customFormat="false" ht="15" hidden="false" customHeight="false" outlineLevel="0" collapsed="false">
      <c r="B35" s="8" t="s">
        <v>87</v>
      </c>
      <c r="C35" s="21" t="n">
        <v>0.05</v>
      </c>
      <c r="D35" s="9" t="s">
        <v>68</v>
      </c>
      <c r="E35" s="9" t="s">
        <v>88</v>
      </c>
    </row>
    <row r="36" customFormat="false" ht="15" hidden="false" customHeight="false" outlineLevel="0" collapsed="false">
      <c r="B36" s="6"/>
      <c r="C36" s="6"/>
      <c r="D36" s="6"/>
      <c r="E36" s="6"/>
    </row>
    <row r="37" customFormat="false" ht="15" hidden="false" customHeight="false" outlineLevel="0" collapsed="false">
      <c r="B37" s="17" t="s">
        <v>89</v>
      </c>
      <c r="C37" s="18"/>
      <c r="D37" s="18"/>
      <c r="E37" s="18"/>
    </row>
    <row r="38" customFormat="false" ht="15" hidden="false" customHeight="false" outlineLevel="0" collapsed="false">
      <c r="B38" s="8" t="s">
        <v>90</v>
      </c>
      <c r="C38" s="25" t="n">
        <v>1.3</v>
      </c>
      <c r="D38" s="9" t="s">
        <v>91</v>
      </c>
      <c r="E38" s="9" t="s">
        <v>92</v>
      </c>
    </row>
    <row r="39" customFormat="false" ht="15" hidden="false" customHeight="false" outlineLevel="0" collapsed="false">
      <c r="B39" s="8" t="s">
        <v>93</v>
      </c>
      <c r="C39" s="21" t="n">
        <v>0.15</v>
      </c>
      <c r="D39" s="9" t="s">
        <v>68</v>
      </c>
      <c r="E39" s="9" t="s">
        <v>94</v>
      </c>
    </row>
    <row r="40" customFormat="false" ht="15" hidden="false" customHeight="false" outlineLevel="0" collapsed="false">
      <c r="B40" s="8" t="s">
        <v>95</v>
      </c>
      <c r="C40" s="21" t="n">
        <v>0.2</v>
      </c>
      <c r="D40" s="9" t="s">
        <v>68</v>
      </c>
      <c r="E40" s="9" t="s">
        <v>96</v>
      </c>
    </row>
    <row r="41" customFormat="false" ht="15" hidden="false" customHeight="false" outlineLevel="0" collapsed="false">
      <c r="B41" s="8" t="s">
        <v>97</v>
      </c>
      <c r="C41" s="25" t="n">
        <v>0.8</v>
      </c>
      <c r="D41" s="9" t="s">
        <v>91</v>
      </c>
      <c r="E41" s="9" t="s">
        <v>98</v>
      </c>
    </row>
    <row r="42" customFormat="false" ht="15" hidden="false" customHeight="false" outlineLevel="0" collapsed="false">
      <c r="B42" s="6"/>
      <c r="C42" s="6"/>
      <c r="D42" s="6"/>
      <c r="E42" s="6"/>
    </row>
    <row r="43" customFormat="false" ht="15" hidden="false" customHeight="false" outlineLevel="0" collapsed="false">
      <c r="B43" s="17" t="s">
        <v>99</v>
      </c>
      <c r="C43" s="18"/>
      <c r="D43" s="18"/>
      <c r="E43" s="18"/>
    </row>
    <row r="44" customFormat="false" ht="15" hidden="false" customHeight="false" outlineLevel="0" collapsed="false">
      <c r="B44" s="8" t="s">
        <v>100</v>
      </c>
      <c r="C44" s="21" t="n">
        <v>0.015</v>
      </c>
      <c r="D44" s="9" t="s">
        <v>68</v>
      </c>
      <c r="E44" s="9" t="s">
        <v>101</v>
      </c>
    </row>
    <row r="45" customFormat="false" ht="15" hidden="false" customHeight="false" outlineLevel="0" collapsed="false">
      <c r="B45" s="8" t="s">
        <v>102</v>
      </c>
      <c r="C45" s="19" t="n">
        <v>425</v>
      </c>
      <c r="D45" s="9" t="s">
        <v>39</v>
      </c>
      <c r="E45" s="9" t="s">
        <v>103</v>
      </c>
    </row>
    <row r="46" customFormat="false" ht="15" hidden="false" customHeight="false" outlineLevel="0" collapsed="false">
      <c r="B46" s="8" t="s">
        <v>104</v>
      </c>
      <c r="C46" s="21" t="n">
        <v>0.2</v>
      </c>
      <c r="D46" s="9" t="s">
        <v>68</v>
      </c>
      <c r="E46" s="9" t="s">
        <v>105</v>
      </c>
    </row>
    <row r="47" customFormat="false" ht="15" hidden="false" customHeight="false" outlineLevel="0" collapsed="false">
      <c r="B47" s="8" t="s">
        <v>106</v>
      </c>
      <c r="C47" s="21" t="n">
        <v>0.08</v>
      </c>
      <c r="D47" s="9" t="s">
        <v>68</v>
      </c>
      <c r="E47" s="9" t="s">
        <v>107</v>
      </c>
    </row>
    <row r="48" customFormat="false" ht="15" hidden="false" customHeight="false" outlineLevel="0" collapsed="false">
      <c r="B48" s="8" t="s">
        <v>108</v>
      </c>
      <c r="C48" s="21" t="n">
        <v>1</v>
      </c>
      <c r="D48" s="9" t="s">
        <v>68</v>
      </c>
      <c r="E48" s="9" t="s">
        <v>109</v>
      </c>
    </row>
    <row r="49" customFormat="false" ht="15" hidden="false" customHeight="false" outlineLevel="0" collapsed="false">
      <c r="B49" s="6"/>
      <c r="C49" s="6"/>
      <c r="D49" s="6"/>
      <c r="E49" s="6"/>
    </row>
    <row r="50" customFormat="false" ht="15" hidden="false" customHeight="false" outlineLevel="0" collapsed="false">
      <c r="B50" s="17" t="s">
        <v>110</v>
      </c>
      <c r="C50" s="18"/>
      <c r="D50" s="18"/>
      <c r="E50" s="18"/>
    </row>
    <row r="51" customFormat="false" ht="15" hidden="false" customHeight="false" outlineLevel="0" collapsed="false">
      <c r="B51" s="8" t="s">
        <v>111</v>
      </c>
      <c r="C51" s="21" t="n">
        <v>0.15</v>
      </c>
      <c r="D51" s="9" t="s">
        <v>68</v>
      </c>
      <c r="E51" s="9" t="s">
        <v>112</v>
      </c>
    </row>
    <row r="52" customFormat="false" ht="15" hidden="false" customHeight="false" outlineLevel="0" collapsed="false">
      <c r="B52" s="8" t="s">
        <v>113</v>
      </c>
      <c r="C52" s="21" t="n">
        <v>0.18</v>
      </c>
      <c r="D52" s="9" t="s">
        <v>68</v>
      </c>
      <c r="E52" s="9" t="s">
        <v>114</v>
      </c>
    </row>
    <row r="53" customFormat="false" ht="15" hidden="false" customHeight="false" outlineLevel="0" collapsed="false">
      <c r="B53" s="8" t="s">
        <v>115</v>
      </c>
      <c r="C53" s="25" t="n">
        <v>1.6</v>
      </c>
      <c r="D53" s="9" t="s">
        <v>91</v>
      </c>
      <c r="E53" s="9" t="s">
        <v>116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4"/>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117</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118</v>
      </c>
      <c r="C3" s="2"/>
      <c r="D3" s="2"/>
      <c r="E3" s="2"/>
      <c r="F3" s="2"/>
      <c r="G3" s="2"/>
      <c r="H3" s="2"/>
      <c r="I3" s="2"/>
      <c r="J3" s="2"/>
      <c r="K3" s="2"/>
      <c r="L3" s="2"/>
      <c r="M3" s="1"/>
      <c r="N3" s="1"/>
      <c r="O3" s="1"/>
      <c r="P3" s="1"/>
      <c r="Q3" s="1"/>
      <c r="R3" s="1"/>
      <c r="S3" s="1"/>
      <c r="T3" s="1"/>
      <c r="U3" s="1"/>
      <c r="V3" s="1"/>
      <c r="W3" s="1"/>
      <c r="X3" s="1"/>
      <c r="Y3" s="1"/>
      <c r="Z3" s="1"/>
      <c r="AA3" s="1"/>
      <c r="AB3" s="1"/>
      <c r="AC3" s="1"/>
      <c r="AD3" s="1"/>
    </row>
    <row r="4" customFormat="false" ht="15" hidden="false" customHeight="false" outlineLevel="0" collapsed="false">
      <c r="B4" s="15" t="s">
        <v>119</v>
      </c>
      <c r="C4" s="26" t="n">
        <f aca="false">COLUMN()-2</f>
        <v>1</v>
      </c>
      <c r="D4" s="26" t="n">
        <f aca="false">COLUMN()-2</f>
        <v>2</v>
      </c>
      <c r="E4" s="26" t="n">
        <f aca="false">COLUMN()-2</f>
        <v>3</v>
      </c>
      <c r="F4" s="26" t="n">
        <f aca="false">COLUMN()-2</f>
        <v>4</v>
      </c>
      <c r="G4" s="26" t="n">
        <f aca="false">COLUMN()-2</f>
        <v>5</v>
      </c>
      <c r="H4" s="26" t="n">
        <f aca="false">COLUMN()-2</f>
        <v>6</v>
      </c>
      <c r="I4" s="26" t="n">
        <f aca="false">COLUMN()-2</f>
        <v>7</v>
      </c>
      <c r="J4" s="26" t="n">
        <f aca="false">COLUMN()-2</f>
        <v>8</v>
      </c>
      <c r="K4" s="26" t="n">
        <f aca="false">COLUMN()-2</f>
        <v>9</v>
      </c>
      <c r="L4" s="26" t="n">
        <f aca="false">COLUMN()-2</f>
        <v>10</v>
      </c>
    </row>
    <row r="5" customFormat="false" ht="15" hidden="false" customHeight="false" outlineLevel="0" collapsed="false">
      <c r="B5" s="8" t="s">
        <v>120</v>
      </c>
      <c r="C5" s="27" t="n">
        <f aca="false">COLUMN()-2</f>
        <v>1</v>
      </c>
      <c r="D5" s="27" t="n">
        <f aca="false">COLUMN()-2</f>
        <v>2</v>
      </c>
      <c r="E5" s="27" t="n">
        <f aca="false">COLUMN()-2</f>
        <v>3</v>
      </c>
      <c r="F5" s="27" t="n">
        <f aca="false">COLUMN()-2</f>
        <v>4</v>
      </c>
      <c r="G5" s="27" t="n">
        <f aca="false">COLUMN()-2</f>
        <v>5</v>
      </c>
      <c r="H5" s="27" t="n">
        <f aca="false">COLUMN()-2</f>
        <v>6</v>
      </c>
      <c r="I5" s="27" t="n">
        <f aca="false">COLUMN()-2</f>
        <v>7</v>
      </c>
      <c r="J5" s="27" t="n">
        <f aca="false">COLUMN()-2</f>
        <v>8</v>
      </c>
      <c r="K5" s="27" t="n">
        <f aca="false">COLUMN()-2</f>
        <v>9</v>
      </c>
      <c r="L5" s="27" t="n">
        <f aca="false">COLUMN()-2</f>
        <v>10</v>
      </c>
    </row>
    <row r="6" customFormat="false" ht="15" hidden="false" customHeight="false" outlineLevel="0" collapsed="false">
      <c r="B6" s="28" t="s">
        <v>121</v>
      </c>
      <c r="C6" s="27" t="n">
        <f aca="false">MAX(Fund_Life-Fund_Age_At_Sale-(C5-1),0)</f>
        <v>7</v>
      </c>
      <c r="D6" s="27" t="n">
        <f aca="false">MAX(Fund_Life-Fund_Age_At_Sale-(D5-1),0)</f>
        <v>6</v>
      </c>
      <c r="E6" s="27" t="n">
        <f aca="false">MAX(Fund_Life-Fund_Age_At_Sale-(E5-1),0)</f>
        <v>5</v>
      </c>
      <c r="F6" s="27" t="n">
        <f aca="false">MAX(Fund_Life-Fund_Age_At_Sale-(F5-1),0)</f>
        <v>4</v>
      </c>
      <c r="G6" s="27" t="n">
        <f aca="false">MAX(Fund_Life-Fund_Age_At_Sale-(G5-1),0)</f>
        <v>3</v>
      </c>
      <c r="H6" s="27" t="n">
        <f aca="false">MAX(Fund_Life-Fund_Age_At_Sale-(H5-1),0)</f>
        <v>2</v>
      </c>
      <c r="I6" s="27" t="n">
        <f aca="false">MAX(Fund_Life-Fund_Age_At_Sale-(I5-1),0)</f>
        <v>1</v>
      </c>
      <c r="J6" s="27" t="n">
        <f aca="false">MAX(Fund_Life-Fund_Age_At_Sale-(J5-1),0)</f>
        <v>0</v>
      </c>
      <c r="K6" s="27" t="n">
        <f aca="false">MAX(Fund_Life-Fund_Age_At_Sale-(K5-1),0)</f>
        <v>0</v>
      </c>
      <c r="L6" s="27" t="n">
        <f aca="false">MAX(Fund_Life-Fund_Age_At_Sale-(L5-1),0)</f>
        <v>0</v>
      </c>
    </row>
    <row r="7" customFormat="false" ht="15" hidden="false" customHeight="false" outlineLevel="0" collapsed="false">
      <c r="B7" s="6"/>
      <c r="C7" s="6"/>
      <c r="D7" s="6"/>
      <c r="E7" s="6"/>
      <c r="F7" s="6"/>
      <c r="G7" s="6"/>
      <c r="H7" s="6"/>
      <c r="I7" s="6"/>
      <c r="J7" s="6"/>
      <c r="K7" s="6"/>
      <c r="L7" s="6"/>
    </row>
    <row r="8" customFormat="false" ht="15" hidden="false" customHeight="false" outlineLevel="0" collapsed="false">
      <c r="B8" s="29" t="s">
        <v>122</v>
      </c>
      <c r="C8" s="18"/>
      <c r="D8" s="18"/>
      <c r="E8" s="18"/>
      <c r="F8" s="18"/>
      <c r="G8" s="18"/>
      <c r="H8" s="18"/>
      <c r="I8" s="18"/>
      <c r="J8" s="18"/>
      <c r="K8" s="18"/>
      <c r="L8" s="18"/>
    </row>
    <row r="9" customFormat="false" ht="15" hidden="false" customHeight="false" outlineLevel="0" collapsed="false">
      <c r="B9" s="28" t="s">
        <v>123</v>
      </c>
      <c r="C9" s="30" t="n">
        <f aca="false">Unrealised_FV</f>
        <v>520</v>
      </c>
      <c r="D9" s="30" t="n">
        <f aca="false">C12</f>
        <v>468</v>
      </c>
      <c r="E9" s="30" t="n">
        <f aca="false">D12</f>
        <v>397.8</v>
      </c>
      <c r="F9" s="30" t="n">
        <f aca="false">E12</f>
        <v>298.35</v>
      </c>
      <c r="G9" s="30" t="n">
        <f aca="false">F12</f>
        <v>238.68</v>
      </c>
      <c r="H9" s="30" t="n">
        <f aca="false">G12</f>
        <v>202.878</v>
      </c>
      <c r="I9" s="30" t="n">
        <f aca="false">H12</f>
        <v>182.5902</v>
      </c>
      <c r="J9" s="30" t="n">
        <f aca="false">I12</f>
        <v>0</v>
      </c>
      <c r="K9" s="30" t="n">
        <f aca="false">J12</f>
        <v>0</v>
      </c>
      <c r="L9" s="30" t="n">
        <f aca="false">K12</f>
        <v>0</v>
      </c>
    </row>
    <row r="10" customFormat="false" ht="15" hidden="false" customHeight="false" outlineLevel="0" collapsed="false">
      <c r="B10" s="28" t="s">
        <v>124</v>
      </c>
      <c r="C10" s="31" t="n">
        <f aca="false">IF(C6&lt;=1,1,IF(C5=1,Exit_Ramp_Y1,IF(C5=2,Exit_Ramp_Y2,IF(C5=3,Exit_Ramp_Y3,IF(C5=4,Exit_Ramp_Y4,IF(C5=5,Exit_Ramp_Y5,IF(C5=6,Exit_Ramp_Y6,IF(C5=7,Exit_Ramp_Y7,0))))))))</f>
        <v>0.1</v>
      </c>
      <c r="D10" s="31" t="n">
        <f aca="false">IF(D6&lt;=1,1,IF(D5=1,Exit_Ramp_Y1,IF(D5=2,Exit_Ramp_Y2,IF(D5=3,Exit_Ramp_Y3,IF(D5=4,Exit_Ramp_Y4,IF(D5=5,Exit_Ramp_Y5,IF(D5=6,Exit_Ramp_Y6,IF(D5=7,Exit_Ramp_Y7,0))))))))</f>
        <v>0.15</v>
      </c>
      <c r="E10" s="31" t="n">
        <f aca="false">IF(E6&lt;=1,1,IF(E5=1,Exit_Ramp_Y1,IF(E5=2,Exit_Ramp_Y2,IF(E5=3,Exit_Ramp_Y3,IF(E5=4,Exit_Ramp_Y4,IF(E5=5,Exit_Ramp_Y5,IF(E5=6,Exit_Ramp_Y6,IF(E5=7,Exit_Ramp_Y7,0))))))))</f>
        <v>0.25</v>
      </c>
      <c r="F10" s="31" t="n">
        <f aca="false">IF(F6&lt;=1,1,IF(F5=1,Exit_Ramp_Y1,IF(F5=2,Exit_Ramp_Y2,IF(F5=3,Exit_Ramp_Y3,IF(F5=4,Exit_Ramp_Y4,IF(F5=5,Exit_Ramp_Y5,IF(F5=6,Exit_Ramp_Y6,IF(F5=7,Exit_Ramp_Y7,0))))))))</f>
        <v>0.2</v>
      </c>
      <c r="G10" s="31" t="n">
        <f aca="false">IF(G6&lt;=1,1,IF(G5=1,Exit_Ramp_Y1,IF(G5=2,Exit_Ramp_Y2,IF(G5=3,Exit_Ramp_Y3,IF(G5=4,Exit_Ramp_Y4,IF(G5=5,Exit_Ramp_Y5,IF(G5=6,Exit_Ramp_Y6,IF(G5=7,Exit_Ramp_Y7,0))))))))</f>
        <v>0.15</v>
      </c>
      <c r="H10" s="31" t="n">
        <f aca="false">IF(H6&lt;=1,1,IF(H5=1,Exit_Ramp_Y1,IF(H5=2,Exit_Ramp_Y2,IF(H5=3,Exit_Ramp_Y3,IF(H5=4,Exit_Ramp_Y4,IF(H5=5,Exit_Ramp_Y5,IF(H5=6,Exit_Ramp_Y6,IF(H5=7,Exit_Ramp_Y7,0))))))))</f>
        <v>0.1</v>
      </c>
      <c r="I10" s="31" t="n">
        <f aca="false">IF(I6&lt;=1,1,IF(I5=1,Exit_Ramp_Y1,IF(I5=2,Exit_Ramp_Y2,IF(I5=3,Exit_Ramp_Y3,IF(I5=4,Exit_Ramp_Y4,IF(I5=5,Exit_Ramp_Y5,IF(I5=6,Exit_Ramp_Y6,IF(I5=7,Exit_Ramp_Y7,0))))))))</f>
        <v>1</v>
      </c>
      <c r="J10" s="31" t="n">
        <f aca="false">IF(J6&lt;=1,1,IF(J5=1,Exit_Ramp_Y1,IF(J5=2,Exit_Ramp_Y2,IF(J5=3,Exit_Ramp_Y3,IF(J5=4,Exit_Ramp_Y4,IF(J5=5,Exit_Ramp_Y5,IF(J5=6,Exit_Ramp_Y6,IF(J5=7,Exit_Ramp_Y7,0))))))))</f>
        <v>1</v>
      </c>
      <c r="K10" s="31" t="n">
        <f aca="false">IF(K6&lt;=1,1,IF(K5=1,Exit_Ramp_Y1,IF(K5=2,Exit_Ramp_Y2,IF(K5=3,Exit_Ramp_Y3,IF(K5=4,Exit_Ramp_Y4,IF(K5=5,Exit_Ramp_Y5,IF(K5=6,Exit_Ramp_Y6,IF(K5=7,Exit_Ramp_Y7,0))))))))</f>
        <v>1</v>
      </c>
      <c r="L10" s="31" t="n">
        <f aca="false">IF(L6&lt;=1,1,IF(L5=1,Exit_Ramp_Y1,IF(L5=2,Exit_Ramp_Y2,IF(L5=3,Exit_Ramp_Y3,IF(L5=4,Exit_Ramp_Y4,IF(L5=5,Exit_Ramp_Y5,IF(L5=6,Exit_Ramp_Y6,IF(L5=7,Exit_Ramp_Y7,0))))))))</f>
        <v>1</v>
      </c>
    </row>
    <row r="11" customFormat="false" ht="15" hidden="false" customHeight="false" outlineLevel="0" collapsed="false">
      <c r="B11" s="28" t="s">
        <v>125</v>
      </c>
      <c r="C11" s="30" t="n">
        <f aca="false">C9*C10</f>
        <v>52</v>
      </c>
      <c r="D11" s="30" t="n">
        <f aca="false">D9*D10</f>
        <v>70.2</v>
      </c>
      <c r="E11" s="30" t="n">
        <f aca="false">E9*E10</f>
        <v>99.45</v>
      </c>
      <c r="F11" s="30" t="n">
        <f aca="false">F9*F10</f>
        <v>59.67</v>
      </c>
      <c r="G11" s="30" t="n">
        <f aca="false">G9*G10</f>
        <v>35.802</v>
      </c>
      <c r="H11" s="30" t="n">
        <f aca="false">H9*H10</f>
        <v>20.2878</v>
      </c>
      <c r="I11" s="30" t="n">
        <f aca="false">I9*I10</f>
        <v>182.5902</v>
      </c>
      <c r="J11" s="30" t="n">
        <f aca="false">J9*J10</f>
        <v>0</v>
      </c>
      <c r="K11" s="30" t="n">
        <f aca="false">K9*K10</f>
        <v>0</v>
      </c>
      <c r="L11" s="30" t="n">
        <f aca="false">L9*L10</f>
        <v>0</v>
      </c>
    </row>
    <row r="12" customFormat="false" ht="15" hidden="false" customHeight="false" outlineLevel="0" collapsed="false">
      <c r="B12" s="32" t="s">
        <v>126</v>
      </c>
      <c r="C12" s="33" t="n">
        <f aca="false">C9-C11</f>
        <v>468</v>
      </c>
      <c r="D12" s="33" t="n">
        <f aca="false">D9-D11</f>
        <v>397.8</v>
      </c>
      <c r="E12" s="33" t="n">
        <f aca="false">E9-E11</f>
        <v>298.35</v>
      </c>
      <c r="F12" s="33" t="n">
        <f aca="false">F9-F11</f>
        <v>238.68</v>
      </c>
      <c r="G12" s="33" t="n">
        <f aca="false">G9-G11</f>
        <v>202.878</v>
      </c>
      <c r="H12" s="33" t="n">
        <f aca="false">H9-H11</f>
        <v>182.5902</v>
      </c>
      <c r="I12" s="33" t="n">
        <f aca="false">I9-I11</f>
        <v>0</v>
      </c>
      <c r="J12" s="33" t="n">
        <f aca="false">J9-J11</f>
        <v>0</v>
      </c>
      <c r="K12" s="33" t="n">
        <f aca="false">K9-K11</f>
        <v>0</v>
      </c>
      <c r="L12" s="33" t="n">
        <f aca="false">L9-L11</f>
        <v>0</v>
      </c>
    </row>
    <row r="13" customFormat="false" ht="15" hidden="false" customHeight="false" outlineLevel="0" collapsed="false">
      <c r="B13" s="6"/>
      <c r="C13" s="6"/>
      <c r="D13" s="6"/>
      <c r="E13" s="6"/>
      <c r="F13" s="6"/>
      <c r="G13" s="6"/>
      <c r="H13" s="6"/>
      <c r="I13" s="6"/>
      <c r="J13" s="6"/>
      <c r="K13" s="6"/>
      <c r="L13" s="6"/>
    </row>
    <row r="14" customFormat="false" ht="15" hidden="false" customHeight="false" outlineLevel="0" collapsed="false">
      <c r="B14" s="29" t="s">
        <v>127</v>
      </c>
      <c r="C14" s="18"/>
      <c r="D14" s="18"/>
      <c r="E14" s="18"/>
      <c r="F14" s="18"/>
      <c r="G14" s="18"/>
      <c r="H14" s="18"/>
      <c r="I14" s="18"/>
      <c r="J14" s="18"/>
      <c r="K14" s="18"/>
      <c r="L14" s="18"/>
    </row>
    <row r="15" customFormat="false" ht="15" hidden="false" customHeight="false" outlineLevel="0" collapsed="false">
      <c r="B15" s="28" t="s">
        <v>128</v>
      </c>
      <c r="C15" s="30" t="n">
        <f aca="false">C11*(1-Write_Off_Pct-Partial_Pct)*Gross_MOIC_Winners</f>
        <v>43.94</v>
      </c>
      <c r="D15" s="30" t="n">
        <f aca="false">D11*(1-Write_Off_Pct-Partial_Pct)*Gross_MOIC_Winners</f>
        <v>59.319</v>
      </c>
      <c r="E15" s="30" t="n">
        <f aca="false">E11*(1-Write_Off_Pct-Partial_Pct)*Gross_MOIC_Winners</f>
        <v>84.03525</v>
      </c>
      <c r="F15" s="30" t="n">
        <f aca="false">F11*(1-Write_Off_Pct-Partial_Pct)*Gross_MOIC_Winners</f>
        <v>50.42115</v>
      </c>
      <c r="G15" s="30" t="n">
        <f aca="false">G11*(1-Write_Off_Pct-Partial_Pct)*Gross_MOIC_Winners</f>
        <v>30.25269</v>
      </c>
      <c r="H15" s="30" t="n">
        <f aca="false">H11*(1-Write_Off_Pct-Partial_Pct)*Gross_MOIC_Winners</f>
        <v>17.143191</v>
      </c>
      <c r="I15" s="30" t="n">
        <f aca="false">I11*(1-Write_Off_Pct-Partial_Pct)*Gross_MOIC_Winners</f>
        <v>154.288719</v>
      </c>
      <c r="J15" s="30" t="n">
        <f aca="false">J11*(1-Write_Off_Pct-Partial_Pct)*Gross_MOIC_Winners</f>
        <v>0</v>
      </c>
      <c r="K15" s="30" t="n">
        <f aca="false">K11*(1-Write_Off_Pct-Partial_Pct)*Gross_MOIC_Winners</f>
        <v>0</v>
      </c>
      <c r="L15" s="30" t="n">
        <f aca="false">L11*(1-Write_Off_Pct-Partial_Pct)*Gross_MOIC_Winners</f>
        <v>0</v>
      </c>
    </row>
    <row r="16" customFormat="false" ht="15" hidden="false" customHeight="false" outlineLevel="0" collapsed="false">
      <c r="B16" s="28" t="s">
        <v>129</v>
      </c>
      <c r="C16" s="30" t="n">
        <f aca="false">C11*Partial_Pct*Partial_MOIC</f>
        <v>8.32</v>
      </c>
      <c r="D16" s="30" t="n">
        <f aca="false">D11*Partial_Pct*Partial_MOIC</f>
        <v>11.232</v>
      </c>
      <c r="E16" s="30" t="n">
        <f aca="false">E11*Partial_Pct*Partial_MOIC</f>
        <v>15.912</v>
      </c>
      <c r="F16" s="30" t="n">
        <f aca="false">F11*Partial_Pct*Partial_MOIC</f>
        <v>9.5472</v>
      </c>
      <c r="G16" s="30" t="n">
        <f aca="false">G11*Partial_Pct*Partial_MOIC</f>
        <v>5.72832</v>
      </c>
      <c r="H16" s="30" t="n">
        <f aca="false">H11*Partial_Pct*Partial_MOIC</f>
        <v>3.246048</v>
      </c>
      <c r="I16" s="30" t="n">
        <f aca="false">I11*Partial_Pct*Partial_MOIC</f>
        <v>29.214432</v>
      </c>
      <c r="J16" s="30" t="n">
        <f aca="false">J11*Partial_Pct*Partial_MOIC</f>
        <v>0</v>
      </c>
      <c r="K16" s="30" t="n">
        <f aca="false">K11*Partial_Pct*Partial_MOIC</f>
        <v>0</v>
      </c>
      <c r="L16" s="30" t="n">
        <f aca="false">L11*Partial_Pct*Partial_MOIC</f>
        <v>0</v>
      </c>
    </row>
    <row r="17" customFormat="false" ht="15" hidden="false" customHeight="false" outlineLevel="0" collapsed="false">
      <c r="B17" s="28" t="s">
        <v>130</v>
      </c>
      <c r="C17" s="30" t="n">
        <f aca="false">0</f>
        <v>0</v>
      </c>
      <c r="D17" s="30" t="n">
        <f aca="false">0</f>
        <v>0</v>
      </c>
      <c r="E17" s="30" t="n">
        <f aca="false">0</f>
        <v>0</v>
      </c>
      <c r="F17" s="30" t="n">
        <f aca="false">0</f>
        <v>0</v>
      </c>
      <c r="G17" s="30" t="n">
        <f aca="false">0</f>
        <v>0</v>
      </c>
      <c r="H17" s="30" t="n">
        <f aca="false">0</f>
        <v>0</v>
      </c>
      <c r="I17" s="30" t="n">
        <f aca="false">0</f>
        <v>0</v>
      </c>
      <c r="J17" s="30" t="n">
        <f aca="false">0</f>
        <v>0</v>
      </c>
      <c r="K17" s="30" t="n">
        <f aca="false">0</f>
        <v>0</v>
      </c>
      <c r="L17" s="30" t="n">
        <f aca="false">0</f>
        <v>0</v>
      </c>
    </row>
    <row r="18" customFormat="false" ht="15" hidden="false" customHeight="false" outlineLevel="0" collapsed="false">
      <c r="B18" s="32" t="s">
        <v>131</v>
      </c>
      <c r="C18" s="33" t="n">
        <f aca="false">C15+C16+C17</f>
        <v>52.26</v>
      </c>
      <c r="D18" s="33" t="n">
        <f aca="false">D15+D16+D17</f>
        <v>70.551</v>
      </c>
      <c r="E18" s="33" t="n">
        <f aca="false">E15+E16+E17</f>
        <v>99.94725</v>
      </c>
      <c r="F18" s="33" t="n">
        <f aca="false">F15+F16+F17</f>
        <v>59.96835</v>
      </c>
      <c r="G18" s="33" t="n">
        <f aca="false">G15+G16+G17</f>
        <v>35.98101</v>
      </c>
      <c r="H18" s="33" t="n">
        <f aca="false">H15+H16+H17</f>
        <v>20.389239</v>
      </c>
      <c r="I18" s="33" t="n">
        <f aca="false">I15+I16+I17</f>
        <v>183.503151</v>
      </c>
      <c r="J18" s="33" t="n">
        <f aca="false">J15+J16+J17</f>
        <v>0</v>
      </c>
      <c r="K18" s="33" t="n">
        <f aca="false">K15+K16+K17</f>
        <v>0</v>
      </c>
      <c r="L18" s="33" t="n">
        <f aca="false">L15+L16+L17</f>
        <v>0</v>
      </c>
    </row>
    <row r="19" customFormat="false" ht="15" hidden="false" customHeight="false" outlineLevel="0" collapsed="false">
      <c r="B19" s="28" t="s">
        <v>132</v>
      </c>
      <c r="C19" s="30" t="n">
        <f aca="false">C18</f>
        <v>52.26</v>
      </c>
      <c r="D19" s="30" t="n">
        <f aca="false">C19+D18</f>
        <v>122.811</v>
      </c>
      <c r="E19" s="30" t="n">
        <f aca="false">D19+E18</f>
        <v>222.75825</v>
      </c>
      <c r="F19" s="30" t="n">
        <f aca="false">E19+F18</f>
        <v>282.7266</v>
      </c>
      <c r="G19" s="30" t="n">
        <f aca="false">F19+G18</f>
        <v>318.70761</v>
      </c>
      <c r="H19" s="30" t="n">
        <f aca="false">G19+H18</f>
        <v>339.096849</v>
      </c>
      <c r="I19" s="30" t="n">
        <f aca="false">H19+I18</f>
        <v>522.6</v>
      </c>
      <c r="J19" s="30" t="n">
        <f aca="false">I19+J18</f>
        <v>522.6</v>
      </c>
      <c r="K19" s="30" t="n">
        <f aca="false">J19+K18</f>
        <v>522.6</v>
      </c>
      <c r="L19" s="30" t="n">
        <f aca="false">K19+L18</f>
        <v>522.6</v>
      </c>
    </row>
    <row r="20" customFormat="false" ht="15" hidden="false" customHeight="false" outlineLevel="0" collapsed="false">
      <c r="B20" s="6"/>
      <c r="C20" s="6"/>
      <c r="D20" s="6"/>
      <c r="E20" s="6"/>
      <c r="F20" s="6"/>
      <c r="G20" s="6"/>
      <c r="H20" s="6"/>
      <c r="I20" s="6"/>
      <c r="J20" s="6"/>
      <c r="K20" s="6"/>
      <c r="L20" s="6"/>
    </row>
    <row r="21" customFormat="false" ht="15" hidden="false" customHeight="false" outlineLevel="0" collapsed="false">
      <c r="B21" s="29" t="s">
        <v>133</v>
      </c>
      <c r="C21" s="18"/>
      <c r="D21" s="18"/>
      <c r="E21" s="18"/>
      <c r="F21" s="18"/>
      <c r="G21" s="18"/>
      <c r="H21" s="18"/>
      <c r="I21" s="18"/>
      <c r="J21" s="18"/>
      <c r="K21" s="18"/>
      <c r="L21" s="18"/>
    </row>
    <row r="22" customFormat="false" ht="15" hidden="false" customHeight="false" outlineLevel="0" collapsed="false">
      <c r="B22" s="28" t="s">
        <v>134</v>
      </c>
      <c r="C22" s="30" t="n">
        <f aca="false">LP_Uncalled*(Fund_Size/LP_Commitment)</f>
        <v>75</v>
      </c>
      <c r="D22" s="30" t="n">
        <f aca="false">C24</f>
        <v>64.2857142857143</v>
      </c>
      <c r="E22" s="30" t="n">
        <f aca="false">D24</f>
        <v>53.5714285714286</v>
      </c>
      <c r="F22" s="30" t="n">
        <f aca="false">E24</f>
        <v>42.8571428571429</v>
      </c>
      <c r="G22" s="30" t="n">
        <f aca="false">F24</f>
        <v>32.1428571428571</v>
      </c>
      <c r="H22" s="30" t="n">
        <f aca="false">G24</f>
        <v>21.4285714285714</v>
      </c>
      <c r="I22" s="30" t="n">
        <f aca="false">H24</f>
        <v>10.7142857142857</v>
      </c>
      <c r="J22" s="30" t="n">
        <f aca="false">I24</f>
        <v>0</v>
      </c>
      <c r="K22" s="30" t="n">
        <f aca="false">J24</f>
        <v>0</v>
      </c>
      <c r="L22" s="30" t="n">
        <f aca="false">K24</f>
        <v>0</v>
      </c>
    </row>
    <row r="23" customFormat="false" ht="15" hidden="false" customHeight="false" outlineLevel="0" collapsed="false">
      <c r="B23" s="28" t="s">
        <v>135</v>
      </c>
      <c r="C23" s="30" t="n">
        <f aca="false">IF(C6&lt;=0,0,C22/MAX(Remaining_Life-(C5-1),1))</f>
        <v>10.7142857142857</v>
      </c>
      <c r="D23" s="30" t="n">
        <f aca="false">IF(D6&lt;=0,0,D22/MAX(Remaining_Life-(D5-1),1))</f>
        <v>10.7142857142857</v>
      </c>
      <c r="E23" s="30" t="n">
        <f aca="false">IF(E6&lt;=0,0,E22/MAX(Remaining_Life-(E5-1),1))</f>
        <v>10.7142857142857</v>
      </c>
      <c r="F23" s="30" t="n">
        <f aca="false">IF(F6&lt;=0,0,F22/MAX(Remaining_Life-(F5-1),1))</f>
        <v>10.7142857142857</v>
      </c>
      <c r="G23" s="30" t="n">
        <f aca="false">IF(G6&lt;=0,0,G22/MAX(Remaining_Life-(G5-1),1))</f>
        <v>10.7142857142857</v>
      </c>
      <c r="H23" s="30" t="n">
        <f aca="false">IF(H6&lt;=0,0,H22/MAX(Remaining_Life-(H5-1),1))</f>
        <v>10.7142857142857</v>
      </c>
      <c r="I23" s="30" t="n">
        <f aca="false">IF(I6&lt;=0,0,I22/MAX(Remaining_Life-(I5-1),1))</f>
        <v>10.7142857142857</v>
      </c>
      <c r="J23" s="30" t="n">
        <f aca="false">IF(J6&lt;=0,0,J22/MAX(Remaining_Life-(J5-1),1))</f>
        <v>0</v>
      </c>
      <c r="K23" s="30" t="n">
        <f aca="false">IF(K6&lt;=0,0,K22/MAX(Remaining_Life-(K5-1),1))</f>
        <v>0</v>
      </c>
      <c r="L23" s="30" t="n">
        <f aca="false">IF(L6&lt;=0,0,L22/MAX(Remaining_Life-(L5-1),1))</f>
        <v>0</v>
      </c>
    </row>
    <row r="24" customFormat="false" ht="15" hidden="false" customHeight="false" outlineLevel="0" collapsed="false">
      <c r="B24" s="32" t="s">
        <v>136</v>
      </c>
      <c r="C24" s="33" t="n">
        <f aca="false">MAX(C22-C23,0)</f>
        <v>64.2857142857143</v>
      </c>
      <c r="D24" s="33" t="n">
        <f aca="false">MAX(D22-D23,0)</f>
        <v>53.5714285714286</v>
      </c>
      <c r="E24" s="33" t="n">
        <f aca="false">MAX(E22-E23,0)</f>
        <v>42.8571428571429</v>
      </c>
      <c r="F24" s="33" t="n">
        <f aca="false">MAX(F22-F23,0)</f>
        <v>32.1428571428571</v>
      </c>
      <c r="G24" s="33" t="n">
        <f aca="false">MAX(G22-G23,0)</f>
        <v>21.4285714285714</v>
      </c>
      <c r="H24" s="33" t="n">
        <f aca="false">MAX(H22-H23,0)</f>
        <v>10.7142857142857</v>
      </c>
      <c r="I24" s="33" t="n">
        <f aca="false">MAX(I22-I23,0)</f>
        <v>0</v>
      </c>
      <c r="J24" s="33" t="n">
        <f aca="false">MAX(J22-J23,0)</f>
        <v>0</v>
      </c>
      <c r="K24" s="33" t="n">
        <f aca="false">MAX(K22-K23,0)</f>
        <v>0</v>
      </c>
      <c r="L24" s="33" t="n">
        <f aca="false">MAX(L22-L23,0)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4"/>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137</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16</v>
      </c>
      <c r="C3" s="2"/>
      <c r="D3" s="2"/>
      <c r="E3" s="2"/>
      <c r="F3" s="2"/>
      <c r="G3" s="2"/>
      <c r="H3" s="2"/>
      <c r="I3" s="2"/>
      <c r="J3" s="2"/>
      <c r="K3" s="2"/>
      <c r="L3" s="2"/>
      <c r="M3" s="1"/>
      <c r="N3" s="1"/>
      <c r="O3" s="1"/>
      <c r="P3" s="1"/>
      <c r="Q3" s="1"/>
      <c r="R3" s="1"/>
      <c r="S3" s="1"/>
      <c r="T3" s="1"/>
      <c r="U3" s="1"/>
      <c r="V3" s="1"/>
      <c r="W3" s="1"/>
      <c r="X3" s="1"/>
      <c r="Y3" s="1"/>
      <c r="Z3" s="1"/>
      <c r="AA3" s="1"/>
      <c r="AB3" s="1"/>
      <c r="AC3" s="1"/>
      <c r="AD3" s="1"/>
    </row>
    <row r="4" customFormat="false" ht="15" hidden="false" customHeight="false" outlineLevel="0" collapsed="false">
      <c r="B4" s="15" t="s">
        <v>119</v>
      </c>
      <c r="C4" s="26" t="n">
        <f aca="false">COLUMN()-2</f>
        <v>1</v>
      </c>
      <c r="D4" s="26" t="n">
        <f aca="false">COLUMN()-2</f>
        <v>2</v>
      </c>
      <c r="E4" s="26" t="n">
        <f aca="false">COLUMN()-2</f>
        <v>3</v>
      </c>
      <c r="F4" s="26" t="n">
        <f aca="false">COLUMN()-2</f>
        <v>4</v>
      </c>
      <c r="G4" s="26" t="n">
        <f aca="false">COLUMN()-2</f>
        <v>5</v>
      </c>
      <c r="H4" s="26" t="n">
        <f aca="false">COLUMN()-2</f>
        <v>6</v>
      </c>
      <c r="I4" s="26" t="n">
        <f aca="false">COLUMN()-2</f>
        <v>7</v>
      </c>
      <c r="J4" s="26" t="n">
        <f aca="false">COLUMN()-2</f>
        <v>8</v>
      </c>
      <c r="K4" s="26" t="n">
        <f aca="false">COLUMN()-2</f>
        <v>9</v>
      </c>
      <c r="L4" s="26" t="n">
        <f aca="false">COLUMN()-2</f>
        <v>10</v>
      </c>
    </row>
    <row r="5" customFormat="false" ht="15" hidden="false" customHeight="false" outlineLevel="0" collapsed="false">
      <c r="B5" s="8" t="s">
        <v>120</v>
      </c>
      <c r="C5" s="27" t="n">
        <f aca="false">COLUMN()-2</f>
        <v>1</v>
      </c>
      <c r="D5" s="27" t="n">
        <f aca="false">COLUMN()-2</f>
        <v>2</v>
      </c>
      <c r="E5" s="27" t="n">
        <f aca="false">COLUMN()-2</f>
        <v>3</v>
      </c>
      <c r="F5" s="27" t="n">
        <f aca="false">COLUMN()-2</f>
        <v>4</v>
      </c>
      <c r="G5" s="27" t="n">
        <f aca="false">COLUMN()-2</f>
        <v>5</v>
      </c>
      <c r="H5" s="27" t="n">
        <f aca="false">COLUMN()-2</f>
        <v>6</v>
      </c>
      <c r="I5" s="27" t="n">
        <f aca="false">COLUMN()-2</f>
        <v>7</v>
      </c>
      <c r="J5" s="27" t="n">
        <f aca="false">COLUMN()-2</f>
        <v>8</v>
      </c>
      <c r="K5" s="27" t="n">
        <f aca="false">COLUMN()-2</f>
        <v>9</v>
      </c>
      <c r="L5" s="27" t="n">
        <f aca="false">COLUMN()-2</f>
        <v>10</v>
      </c>
    </row>
    <row r="6" customFormat="false" ht="15" hidden="false" customHeight="false" outlineLevel="0" collapsed="false">
      <c r="B6" s="6"/>
      <c r="C6" s="6"/>
      <c r="D6" s="6"/>
      <c r="E6" s="6"/>
      <c r="F6" s="6"/>
      <c r="G6" s="6"/>
      <c r="H6" s="6"/>
      <c r="I6" s="6"/>
      <c r="J6" s="6"/>
      <c r="K6" s="6"/>
      <c r="L6" s="6"/>
    </row>
    <row r="7" customFormat="false" ht="15" hidden="false" customHeight="false" outlineLevel="0" collapsed="false">
      <c r="B7" s="29" t="s">
        <v>138</v>
      </c>
      <c r="C7" s="18"/>
      <c r="D7" s="18"/>
      <c r="E7" s="18"/>
      <c r="F7" s="18"/>
      <c r="G7" s="18"/>
      <c r="H7" s="18"/>
      <c r="I7" s="18"/>
      <c r="J7" s="18"/>
      <c r="K7" s="18"/>
      <c r="L7" s="18"/>
    </row>
    <row r="8" customFormat="false" ht="15" hidden="false" customHeight="false" outlineLevel="0" collapsed="false">
      <c r="B8" s="28" t="s">
        <v>102</v>
      </c>
      <c r="C8" s="30" t="n">
        <f aca="false">Fee_Base</f>
        <v>425</v>
      </c>
      <c r="D8" s="30" t="n">
        <f aca="false">Fee_Base</f>
        <v>425</v>
      </c>
      <c r="E8" s="30" t="n">
        <f aca="false">Fee_Base</f>
        <v>425</v>
      </c>
      <c r="F8" s="30" t="n">
        <f aca="false">Fee_Base</f>
        <v>425</v>
      </c>
      <c r="G8" s="30" t="n">
        <f aca="false">Fee_Base</f>
        <v>425</v>
      </c>
      <c r="H8" s="30" t="n">
        <f aca="false">Fee_Base</f>
        <v>425</v>
      </c>
      <c r="I8" s="30" t="n">
        <f aca="false">Fee_Base</f>
        <v>425</v>
      </c>
      <c r="J8" s="30" t="n">
        <f aca="false">Fee_Base</f>
        <v>425</v>
      </c>
      <c r="K8" s="30" t="n">
        <f aca="false">Fee_Base</f>
        <v>425</v>
      </c>
      <c r="L8" s="30" t="n">
        <f aca="false">Fee_Base</f>
        <v>425</v>
      </c>
    </row>
    <row r="9" customFormat="false" ht="15" hidden="false" customHeight="false" outlineLevel="0" collapsed="false">
      <c r="B9" s="28" t="s">
        <v>139</v>
      </c>
      <c r="C9" s="30" t="n">
        <f aca="false">IF(C5&lt;=Remaining_Life,C8*Mgmt_Fee_Rate,0)</f>
        <v>6.375</v>
      </c>
      <c r="D9" s="30" t="n">
        <f aca="false">IF(D5&lt;=Remaining_Life,D8*Mgmt_Fee_Rate,0)</f>
        <v>6.375</v>
      </c>
      <c r="E9" s="30" t="n">
        <f aca="false">IF(E5&lt;=Remaining_Life,E8*Mgmt_Fee_Rate,0)</f>
        <v>6.375</v>
      </c>
      <c r="F9" s="30" t="n">
        <f aca="false">IF(F5&lt;=Remaining_Life,F8*Mgmt_Fee_Rate,0)</f>
        <v>6.375</v>
      </c>
      <c r="G9" s="30" t="n">
        <f aca="false">IF(G5&lt;=Remaining_Life,G8*Mgmt_Fee_Rate,0)</f>
        <v>6.375</v>
      </c>
      <c r="H9" s="30" t="n">
        <f aca="false">IF(H5&lt;=Remaining_Life,H8*Mgmt_Fee_Rate,0)</f>
        <v>6.375</v>
      </c>
      <c r="I9" s="30" t="n">
        <f aca="false">IF(I5&lt;=Remaining_Life,I8*Mgmt_Fee_Rate,0)</f>
        <v>6.375</v>
      </c>
      <c r="J9" s="30" t="n">
        <f aca="false">IF(J5&lt;=Remaining_Life,J8*Mgmt_Fee_Rate,0)</f>
        <v>0</v>
      </c>
      <c r="K9" s="30" t="n">
        <f aca="false">IF(K5&lt;=Remaining_Life,K8*Mgmt_Fee_Rate,0)</f>
        <v>0</v>
      </c>
      <c r="L9" s="30" t="n">
        <f aca="false">IF(L5&lt;=Remaining_Life,L8*Mgmt_Fee_Rate,0)</f>
        <v>0</v>
      </c>
    </row>
    <row r="10" customFormat="false" ht="15" hidden="false" customHeight="false" outlineLevel="0" collapsed="false">
      <c r="B10" s="28" t="s">
        <v>140</v>
      </c>
      <c r="C10" s="30" t="n">
        <f aca="false">C9</f>
        <v>6.375</v>
      </c>
      <c r="D10" s="30" t="n">
        <f aca="false">C10+D9</f>
        <v>12.75</v>
      </c>
      <c r="E10" s="30" t="n">
        <f aca="false">D10+E9</f>
        <v>19.125</v>
      </c>
      <c r="F10" s="30" t="n">
        <f aca="false">E10+F9</f>
        <v>25.5</v>
      </c>
      <c r="G10" s="30" t="n">
        <f aca="false">F10+G9</f>
        <v>31.875</v>
      </c>
      <c r="H10" s="30" t="n">
        <f aca="false">G10+H9</f>
        <v>38.25</v>
      </c>
      <c r="I10" s="30" t="n">
        <f aca="false">H10+I9</f>
        <v>44.625</v>
      </c>
      <c r="J10" s="30" t="n">
        <f aca="false">I10+J9</f>
        <v>44.625</v>
      </c>
      <c r="K10" s="30" t="n">
        <f aca="false">J10+K9</f>
        <v>44.625</v>
      </c>
      <c r="L10" s="30" t="n">
        <f aca="false">K10+L9</f>
        <v>44.625</v>
      </c>
    </row>
    <row r="11" customFormat="false" ht="15" hidden="false" customHeight="false" outlineLevel="0" collapsed="false">
      <c r="B11" s="6"/>
      <c r="C11" s="6"/>
      <c r="D11" s="6"/>
      <c r="E11" s="6"/>
      <c r="F11" s="6"/>
      <c r="G11" s="6"/>
      <c r="H11" s="6"/>
      <c r="I11" s="6"/>
      <c r="J11" s="6"/>
      <c r="K11" s="6"/>
      <c r="L11" s="6"/>
    </row>
    <row r="12" customFormat="false" ht="15" hidden="false" customHeight="false" outlineLevel="0" collapsed="false">
      <c r="B12" s="29" t="s">
        <v>141</v>
      </c>
      <c r="C12" s="18"/>
      <c r="D12" s="18"/>
      <c r="E12" s="18"/>
      <c r="F12" s="18"/>
      <c r="G12" s="18"/>
      <c r="H12" s="18"/>
      <c r="I12" s="18"/>
      <c r="J12" s="18"/>
      <c r="K12" s="18"/>
      <c r="L12" s="18"/>
    </row>
    <row r="13" customFormat="false" ht="15" hidden="false" customHeight="false" outlineLevel="0" collapsed="false">
      <c r="B13" s="28" t="s">
        <v>142</v>
      </c>
      <c r="C13" s="30" t="n">
        <f aca="false">Total_Realised</f>
        <v>150</v>
      </c>
      <c r="D13" s="30" t="n">
        <f aca="false">Total_Realised</f>
        <v>150</v>
      </c>
      <c r="E13" s="30" t="n">
        <f aca="false">Total_Realised</f>
        <v>150</v>
      </c>
      <c r="F13" s="30" t="n">
        <f aca="false">Total_Realised</f>
        <v>150</v>
      </c>
      <c r="G13" s="30" t="n">
        <f aca="false">Total_Realised</f>
        <v>150</v>
      </c>
      <c r="H13" s="30" t="n">
        <f aca="false">Total_Realised</f>
        <v>150</v>
      </c>
      <c r="I13" s="30" t="n">
        <f aca="false">Total_Realised</f>
        <v>150</v>
      </c>
      <c r="J13" s="30" t="n">
        <f aca="false">Total_Realised</f>
        <v>150</v>
      </c>
      <c r="K13" s="30" t="n">
        <f aca="false">Total_Realised</f>
        <v>150</v>
      </c>
      <c r="L13" s="30" t="n">
        <f aca="false">Total_Realised</f>
        <v>150</v>
      </c>
    </row>
    <row r="14" customFormat="false" ht="15" hidden="false" customHeight="false" outlineLevel="0" collapsed="false">
      <c r="B14" s="28" t="s">
        <v>132</v>
      </c>
      <c r="C14" s="30" t="n">
        <f aca="false">C13+Portfolio_Runoff!C19</f>
        <v>202.26</v>
      </c>
      <c r="D14" s="30" t="n">
        <f aca="false">D13+Portfolio_Runoff!D19</f>
        <v>272.811</v>
      </c>
      <c r="E14" s="30" t="n">
        <f aca="false">E13+Portfolio_Runoff!E19</f>
        <v>372.75825</v>
      </c>
      <c r="F14" s="30" t="n">
        <f aca="false">F13+Portfolio_Runoff!F19</f>
        <v>432.7266</v>
      </c>
      <c r="G14" s="30" t="n">
        <f aca="false">G13+Portfolio_Runoff!G19</f>
        <v>468.70761</v>
      </c>
      <c r="H14" s="30" t="n">
        <f aca="false">H13+Portfolio_Runoff!H19</f>
        <v>489.096849</v>
      </c>
      <c r="I14" s="30" t="n">
        <f aca="false">I13+Portfolio_Runoff!I19</f>
        <v>672.6</v>
      </c>
      <c r="J14" s="30" t="n">
        <f aca="false">J13+Portfolio_Runoff!J19</f>
        <v>672.6</v>
      </c>
      <c r="K14" s="30" t="n">
        <f aca="false">K13+Portfolio_Runoff!K19</f>
        <v>672.6</v>
      </c>
      <c r="L14" s="30" t="n">
        <f aca="false">L13+Portfolio_Runoff!L19</f>
        <v>672.6</v>
      </c>
    </row>
    <row r="15" customFormat="false" ht="15" hidden="false" customHeight="false" outlineLevel="0" collapsed="false">
      <c r="B15" s="28" t="s">
        <v>143</v>
      </c>
      <c r="C15" s="30" t="n">
        <f aca="false">C14</f>
        <v>202.26</v>
      </c>
      <c r="D15" s="30" t="n">
        <f aca="false">D14</f>
        <v>272.811</v>
      </c>
      <c r="E15" s="30" t="n">
        <f aca="false">E14</f>
        <v>372.75825</v>
      </c>
      <c r="F15" s="30" t="n">
        <f aca="false">F14</f>
        <v>432.7266</v>
      </c>
      <c r="G15" s="30" t="n">
        <f aca="false">G14</f>
        <v>468.70761</v>
      </c>
      <c r="H15" s="30" t="n">
        <f aca="false">H14</f>
        <v>489.096849</v>
      </c>
      <c r="I15" s="30" t="n">
        <f aca="false">I14</f>
        <v>672.6</v>
      </c>
      <c r="J15" s="30" t="n">
        <f aca="false">J14</f>
        <v>672.6</v>
      </c>
      <c r="K15" s="30" t="n">
        <f aca="false">K14</f>
        <v>672.6</v>
      </c>
      <c r="L15" s="30" t="n">
        <f aca="false">L14</f>
        <v>672.6</v>
      </c>
    </row>
    <row r="16" customFormat="false" ht="15" hidden="false" customHeight="false" outlineLevel="0" collapsed="false">
      <c r="B16" s="28" t="s">
        <v>144</v>
      </c>
      <c r="C16" s="30" t="n">
        <f aca="false">Total_Invested+Portfolio_Runoff!C23</f>
        <v>435.714285714286</v>
      </c>
      <c r="D16" s="30" t="n">
        <f aca="false">C16+Portfolio_Runoff!D23</f>
        <v>446.428571428571</v>
      </c>
      <c r="E16" s="30" t="n">
        <f aca="false">D16+Portfolio_Runoff!E23</f>
        <v>457.142857142857</v>
      </c>
      <c r="F16" s="30" t="n">
        <f aca="false">E16+Portfolio_Runoff!F23</f>
        <v>467.857142857143</v>
      </c>
      <c r="G16" s="30" t="n">
        <f aca="false">F16+Portfolio_Runoff!G23</f>
        <v>478.571428571429</v>
      </c>
      <c r="H16" s="30" t="n">
        <f aca="false">G16+Portfolio_Runoff!H23</f>
        <v>489.285714285714</v>
      </c>
      <c r="I16" s="30" t="n">
        <f aca="false">H16+Portfolio_Runoff!I23</f>
        <v>500</v>
      </c>
      <c r="J16" s="30" t="n">
        <f aca="false">I16+Portfolio_Runoff!J23</f>
        <v>500</v>
      </c>
      <c r="K16" s="30" t="n">
        <f aca="false">J16+Portfolio_Runoff!K23</f>
        <v>500</v>
      </c>
      <c r="L16" s="30" t="n">
        <f aca="false">K16+Portfolio_Runoff!L23</f>
        <v>500</v>
      </c>
    </row>
    <row r="17" customFormat="false" ht="15" hidden="false" customHeight="false" outlineLevel="0" collapsed="false">
      <c r="B17" s="28" t="s">
        <v>145</v>
      </c>
      <c r="C17" s="30" t="n">
        <f aca="false">C16*((1+Hurdle_Rate)^(Fund_Age_At_Sale+C5)-1)</f>
        <v>255.7095264256</v>
      </c>
      <c r="D17" s="30" t="n">
        <f aca="false">D16*((1+Hurdle_Rate)^(Fund_Age_At_Sale+D5)-1)</f>
        <v>318.671548562286</v>
      </c>
      <c r="E17" s="30" t="n">
        <f aca="false">E16*((1+Hurdle_Rate)^(Fund_Age_At_Sale+E5)-1)</f>
        <v>388.996667557432</v>
      </c>
      <c r="F17" s="30" t="n">
        <f aca="false">F16*((1+Hurdle_Rate)^(Fund_Age_At_Sale+F5)-1)</f>
        <v>467.391450538146</v>
      </c>
      <c r="G17" s="30" t="n">
        <f aca="false">G16*((1+Hurdle_Rate)^(Fund_Age_At_Sale+G5)-1)</f>
        <v>554.628391551977</v>
      </c>
      <c r="H17" s="30" t="n">
        <f aca="false">H16*((1+Hurdle_Rate)^(Fund_Age_At_Sale+H5)-1)</f>
        <v>651.551937844578</v>
      </c>
      <c r="I17" s="30" t="n">
        <f aca="false">I16*((1+Hurdle_Rate)^(Fund_Age_At_Sale+I5)-1)</f>
        <v>759.08505840949</v>
      </c>
      <c r="J17" s="30" t="n">
        <f aca="false">J16*((1+Hurdle_Rate)^(Fund_Age_At_Sale+J5)-1)</f>
        <v>859.81186308225</v>
      </c>
      <c r="K17" s="30" t="n">
        <f aca="false">K16*((1+Hurdle_Rate)^(Fund_Age_At_Sale+K5)-1)</f>
        <v>968.59681212883</v>
      </c>
      <c r="L17" s="30" t="n">
        <f aca="false">L16*((1+Hurdle_Rate)^(Fund_Age_At_Sale+L5)-1)</f>
        <v>1086.08455709914</v>
      </c>
    </row>
    <row r="18" customFormat="false" ht="15" hidden="false" customHeight="false" outlineLevel="0" collapsed="false">
      <c r="B18" s="28" t="s">
        <v>146</v>
      </c>
      <c r="C18" s="30" t="n">
        <f aca="false">MAX(C15-C16-C17,0)</f>
        <v>0</v>
      </c>
      <c r="D18" s="30" t="n">
        <f aca="false">MAX(D15-D16-D17,0)</f>
        <v>0</v>
      </c>
      <c r="E18" s="30" t="n">
        <f aca="false">MAX(E15-E16-E17,0)</f>
        <v>0</v>
      </c>
      <c r="F18" s="30" t="n">
        <f aca="false">MAX(F15-F16-F17,0)</f>
        <v>0</v>
      </c>
      <c r="G18" s="30" t="n">
        <f aca="false">MAX(G15-G16-G17,0)</f>
        <v>0</v>
      </c>
      <c r="H18" s="30" t="n">
        <f aca="false">MAX(H15-H16-H17,0)</f>
        <v>0</v>
      </c>
      <c r="I18" s="30" t="n">
        <f aca="false">MAX(I15-I16-I17,0)</f>
        <v>0</v>
      </c>
      <c r="J18" s="30" t="n">
        <f aca="false">MAX(J15-J16-J17,0)</f>
        <v>0</v>
      </c>
      <c r="K18" s="30" t="n">
        <f aca="false">MAX(K15-K16-K17,0)</f>
        <v>0</v>
      </c>
      <c r="L18" s="30" t="n">
        <f aca="false">MAX(L15-L16-L17,0)</f>
        <v>0</v>
      </c>
    </row>
    <row r="19" customFormat="false" ht="15" hidden="false" customHeight="false" outlineLevel="0" collapsed="false">
      <c r="B19" s="28" t="s">
        <v>147</v>
      </c>
      <c r="C19" s="30" t="n">
        <f aca="false">IF(C18&lt;=0,0,IF(C18&lt;=(Carry_Pct/(1-Carry_Pct))*C17,C18*Catchup_Pct,(Carry_Pct/(1-Carry_Pct))*C17+(C18-(Carry_Pct/(1-Carry_Pct))*C17)*Carry_Pct))</f>
        <v>0</v>
      </c>
      <c r="D19" s="30" t="n">
        <f aca="false">IF(D18&lt;=0,0,IF(D18&lt;=(Carry_Pct/(1-Carry_Pct))*D17,D18*Catchup_Pct,(Carry_Pct/(1-Carry_Pct))*D17+(D18-(Carry_Pct/(1-Carry_Pct))*D17)*Carry_Pct))</f>
        <v>0</v>
      </c>
      <c r="E19" s="30" t="n">
        <f aca="false">IF(E18&lt;=0,0,IF(E18&lt;=(Carry_Pct/(1-Carry_Pct))*E17,E18*Catchup_Pct,(Carry_Pct/(1-Carry_Pct))*E17+(E18-(Carry_Pct/(1-Carry_Pct))*E17)*Carry_Pct))</f>
        <v>0</v>
      </c>
      <c r="F19" s="30" t="n">
        <f aca="false">IF(F18&lt;=0,0,IF(F18&lt;=(Carry_Pct/(1-Carry_Pct))*F17,F18*Catchup_Pct,(Carry_Pct/(1-Carry_Pct))*F17+(F18-(Carry_Pct/(1-Carry_Pct))*F17)*Carry_Pct))</f>
        <v>0</v>
      </c>
      <c r="G19" s="30" t="n">
        <f aca="false">IF(G18&lt;=0,0,IF(G18&lt;=(Carry_Pct/(1-Carry_Pct))*G17,G18*Catchup_Pct,(Carry_Pct/(1-Carry_Pct))*G17+(G18-(Carry_Pct/(1-Carry_Pct))*G17)*Carry_Pct))</f>
        <v>0</v>
      </c>
      <c r="H19" s="30" t="n">
        <f aca="false">IF(H18&lt;=0,0,IF(H18&lt;=(Carry_Pct/(1-Carry_Pct))*H17,H18*Catchup_Pct,(Carry_Pct/(1-Carry_Pct))*H17+(H18-(Carry_Pct/(1-Carry_Pct))*H17)*Carry_Pct))</f>
        <v>0</v>
      </c>
      <c r="I19" s="30" t="n">
        <f aca="false">IF(I18&lt;=0,0,IF(I18&lt;=(Carry_Pct/(1-Carry_Pct))*I17,I18*Catchup_Pct,(Carry_Pct/(1-Carry_Pct))*I17+(I18-(Carry_Pct/(1-Carry_Pct))*I17)*Carry_Pct))</f>
        <v>0</v>
      </c>
      <c r="J19" s="30" t="n">
        <f aca="false">IF(J18&lt;=0,0,IF(J18&lt;=(Carry_Pct/(1-Carry_Pct))*J17,J18*Catchup_Pct,(Carry_Pct/(1-Carry_Pct))*J17+(J18-(Carry_Pct/(1-Carry_Pct))*J17)*Carry_Pct))</f>
        <v>0</v>
      </c>
      <c r="K19" s="30" t="n">
        <f aca="false">IF(K18&lt;=0,0,IF(K18&lt;=(Carry_Pct/(1-Carry_Pct))*K17,K18*Catchup_Pct,(Carry_Pct/(1-Carry_Pct))*K17+(K18-(Carry_Pct/(1-Carry_Pct))*K17)*Carry_Pct))</f>
        <v>0</v>
      </c>
      <c r="L19" s="30" t="n">
        <f aca="false">IF(L18&lt;=0,0,IF(L18&lt;=(Carry_Pct/(1-Carry_Pct))*L17,L18*Catchup_Pct,(Carry_Pct/(1-Carry_Pct))*L17+(L18-(Carry_Pct/(1-Carry_Pct))*L17)*Carry_Pct))</f>
        <v>0</v>
      </c>
    </row>
    <row r="20" customFormat="false" ht="15" hidden="false" customHeight="false" outlineLevel="0" collapsed="false">
      <c r="B20" s="32" t="s">
        <v>148</v>
      </c>
      <c r="C20" s="33" t="n">
        <f aca="false">C19</f>
        <v>0</v>
      </c>
      <c r="D20" s="33" t="n">
        <f aca="false">MAX(D19-C19,0)</f>
        <v>0</v>
      </c>
      <c r="E20" s="33" t="n">
        <f aca="false">MAX(E19-D19,0)</f>
        <v>0</v>
      </c>
      <c r="F20" s="33" t="n">
        <f aca="false">MAX(F19-E19,0)</f>
        <v>0</v>
      </c>
      <c r="G20" s="33" t="n">
        <f aca="false">MAX(G19-F19,0)</f>
        <v>0</v>
      </c>
      <c r="H20" s="33" t="n">
        <f aca="false">MAX(H19-G19,0)</f>
        <v>0</v>
      </c>
      <c r="I20" s="33" t="n">
        <f aca="false">MAX(I19-H19,0)</f>
        <v>0</v>
      </c>
      <c r="J20" s="33" t="n">
        <f aca="false">MAX(J19-I19,0)</f>
        <v>0</v>
      </c>
      <c r="K20" s="33" t="n">
        <f aca="false">MAX(K19-J19,0)</f>
        <v>0</v>
      </c>
      <c r="L20" s="33" t="n">
        <f aca="false">MAX(L19-K19,0)</f>
        <v>0</v>
      </c>
    </row>
    <row r="21" customFormat="false" ht="15" hidden="false" customHeight="false" outlineLevel="0" collapsed="false">
      <c r="B21" s="6"/>
      <c r="C21" s="6"/>
      <c r="D21" s="6"/>
      <c r="E21" s="6"/>
      <c r="F21" s="6"/>
      <c r="G21" s="6"/>
      <c r="H21" s="6"/>
      <c r="I21" s="6"/>
      <c r="J21" s="6"/>
      <c r="K21" s="6"/>
      <c r="L21" s="6"/>
    </row>
    <row r="22" customFormat="false" ht="15" hidden="false" customHeight="false" outlineLevel="0" collapsed="false">
      <c r="B22" s="29" t="s">
        <v>149</v>
      </c>
      <c r="C22" s="18"/>
      <c r="D22" s="18"/>
      <c r="E22" s="18"/>
      <c r="F22" s="18"/>
      <c r="G22" s="18"/>
      <c r="H22" s="18"/>
      <c r="I22" s="18"/>
      <c r="J22" s="18"/>
      <c r="K22" s="18"/>
      <c r="L22" s="18"/>
    </row>
    <row r="23" customFormat="false" ht="15" hidden="false" customHeight="false" outlineLevel="0" collapsed="false">
      <c r="B23" s="28" t="s">
        <v>150</v>
      </c>
      <c r="C23" s="30" t="n">
        <f aca="false">Portfolio_Runoff!C18</f>
        <v>52.26</v>
      </c>
      <c r="D23" s="30" t="n">
        <f aca="false">Portfolio_Runoff!D18</f>
        <v>70.551</v>
      </c>
      <c r="E23" s="30" t="n">
        <f aca="false">Portfolio_Runoff!E18</f>
        <v>99.94725</v>
      </c>
      <c r="F23" s="30" t="n">
        <f aca="false">Portfolio_Runoff!F18</f>
        <v>59.96835</v>
      </c>
      <c r="G23" s="30" t="n">
        <f aca="false">Portfolio_Runoff!G18</f>
        <v>35.98101</v>
      </c>
      <c r="H23" s="30" t="n">
        <f aca="false">Portfolio_Runoff!H18</f>
        <v>20.389239</v>
      </c>
      <c r="I23" s="30" t="n">
        <f aca="false">Portfolio_Runoff!I18</f>
        <v>183.503151</v>
      </c>
      <c r="J23" s="30" t="n">
        <f aca="false">Portfolio_Runoff!J18</f>
        <v>0</v>
      </c>
      <c r="K23" s="30" t="n">
        <f aca="false">Portfolio_Runoff!K18</f>
        <v>0</v>
      </c>
      <c r="L23" s="30" t="n">
        <f aca="false">Portfolio_Runoff!L18</f>
        <v>0</v>
      </c>
    </row>
    <row r="24" customFormat="false" ht="15" hidden="false" customHeight="false" outlineLevel="0" collapsed="false">
      <c r="B24" s="28" t="s">
        <v>151</v>
      </c>
      <c r="C24" s="30" t="n">
        <f aca="false">C20</f>
        <v>0</v>
      </c>
      <c r="D24" s="30" t="n">
        <f aca="false">D20</f>
        <v>0</v>
      </c>
      <c r="E24" s="30" t="n">
        <f aca="false">E20</f>
        <v>0</v>
      </c>
      <c r="F24" s="30" t="n">
        <f aca="false">F20</f>
        <v>0</v>
      </c>
      <c r="G24" s="30" t="n">
        <f aca="false">G20</f>
        <v>0</v>
      </c>
      <c r="H24" s="30" t="n">
        <f aca="false">H20</f>
        <v>0</v>
      </c>
      <c r="I24" s="30" t="n">
        <f aca="false">I20</f>
        <v>0</v>
      </c>
      <c r="J24" s="30" t="n">
        <f aca="false">J20</f>
        <v>0</v>
      </c>
      <c r="K24" s="30" t="n">
        <f aca="false">K20</f>
        <v>0</v>
      </c>
      <c r="L24" s="30" t="n">
        <f aca="false">L20</f>
        <v>0</v>
      </c>
    </row>
    <row r="25" customFormat="false" ht="15" hidden="false" customHeight="false" outlineLevel="0" collapsed="false">
      <c r="B25" s="28" t="s">
        <v>152</v>
      </c>
      <c r="C25" s="30" t="n">
        <f aca="false">C9</f>
        <v>6.375</v>
      </c>
      <c r="D25" s="30" t="n">
        <f aca="false">D9</f>
        <v>6.375</v>
      </c>
      <c r="E25" s="30" t="n">
        <f aca="false">E9</f>
        <v>6.375</v>
      </c>
      <c r="F25" s="30" t="n">
        <f aca="false">F9</f>
        <v>6.375</v>
      </c>
      <c r="G25" s="30" t="n">
        <f aca="false">G9</f>
        <v>6.375</v>
      </c>
      <c r="H25" s="30" t="n">
        <f aca="false">H9</f>
        <v>6.375</v>
      </c>
      <c r="I25" s="30" t="n">
        <f aca="false">I9</f>
        <v>6.375</v>
      </c>
      <c r="J25" s="30" t="n">
        <f aca="false">J9</f>
        <v>0</v>
      </c>
      <c r="K25" s="30" t="n">
        <f aca="false">K9</f>
        <v>0</v>
      </c>
      <c r="L25" s="30" t="n">
        <f aca="false">L9</f>
        <v>0</v>
      </c>
    </row>
    <row r="26" customFormat="false" ht="15" hidden="false" customHeight="false" outlineLevel="0" collapsed="false">
      <c r="B26" s="34" t="s">
        <v>153</v>
      </c>
      <c r="C26" s="35" t="n">
        <f aca="false">MAX(C23-C24-C25,0)</f>
        <v>45.885</v>
      </c>
      <c r="D26" s="35" t="n">
        <f aca="false">MAX(D23-D24-D25,0)</f>
        <v>64.176</v>
      </c>
      <c r="E26" s="35" t="n">
        <f aca="false">MAX(E23-E24-E25,0)</f>
        <v>93.57225</v>
      </c>
      <c r="F26" s="35" t="n">
        <f aca="false">MAX(F23-F24-F25,0)</f>
        <v>53.59335</v>
      </c>
      <c r="G26" s="35" t="n">
        <f aca="false">MAX(G23-G24-G25,0)</f>
        <v>29.60601</v>
      </c>
      <c r="H26" s="35" t="n">
        <f aca="false">MAX(H23-H24-H25,0)</f>
        <v>14.014239</v>
      </c>
      <c r="I26" s="35" t="n">
        <f aca="false">MAX(I23-I24-I25,0)</f>
        <v>177.128151</v>
      </c>
      <c r="J26" s="35" t="n">
        <f aca="false">MAX(J23-J24-J25,0)</f>
        <v>0</v>
      </c>
      <c r="K26" s="35" t="n">
        <f aca="false">MAX(K23-K24-K25,0)</f>
        <v>0</v>
      </c>
      <c r="L26" s="35" t="n">
        <f aca="false">MAX(L23-L24-L25,0)</f>
        <v>0</v>
      </c>
    </row>
    <row r="27" customFormat="false" ht="15" hidden="false" customHeight="false" outlineLevel="0" collapsed="false">
      <c r="B27" s="28" t="s">
        <v>154</v>
      </c>
      <c r="C27" s="30" t="n">
        <f aca="false">C26</f>
        <v>45.885</v>
      </c>
      <c r="D27" s="30" t="n">
        <f aca="false">C27+D26</f>
        <v>110.061</v>
      </c>
      <c r="E27" s="30" t="n">
        <f aca="false">D27+E26</f>
        <v>203.63325</v>
      </c>
      <c r="F27" s="30" t="n">
        <f aca="false">E27+F26</f>
        <v>257.2266</v>
      </c>
      <c r="G27" s="30" t="n">
        <f aca="false">F27+G26</f>
        <v>286.83261</v>
      </c>
      <c r="H27" s="30" t="n">
        <f aca="false">G27+H26</f>
        <v>300.846849</v>
      </c>
      <c r="I27" s="30" t="n">
        <f aca="false">H27+I26</f>
        <v>477.975</v>
      </c>
      <c r="J27" s="30" t="n">
        <f aca="false">I27+J26</f>
        <v>477.975</v>
      </c>
      <c r="K27" s="30" t="n">
        <f aca="false">J27+K26</f>
        <v>477.975</v>
      </c>
      <c r="L27" s="30" t="n">
        <f aca="false">K27+L26</f>
        <v>477.975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4"/>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155</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156</v>
      </c>
      <c r="C3" s="2"/>
      <c r="D3" s="2"/>
      <c r="E3" s="2"/>
      <c r="F3" s="2"/>
      <c r="G3" s="2"/>
      <c r="H3" s="2"/>
      <c r="I3" s="2"/>
      <c r="J3" s="2"/>
      <c r="K3" s="2"/>
      <c r="L3" s="2"/>
      <c r="M3" s="1"/>
      <c r="N3" s="1"/>
      <c r="O3" s="1"/>
      <c r="P3" s="1"/>
      <c r="Q3" s="1"/>
      <c r="R3" s="1"/>
      <c r="S3" s="1"/>
      <c r="T3" s="1"/>
      <c r="U3" s="1"/>
      <c r="V3" s="1"/>
      <c r="W3" s="1"/>
      <c r="X3" s="1"/>
      <c r="Y3" s="1"/>
      <c r="Z3" s="1"/>
      <c r="AA3" s="1"/>
      <c r="AB3" s="1"/>
      <c r="AC3" s="1"/>
      <c r="AD3" s="1"/>
    </row>
    <row r="4" customFormat="false" ht="15" hidden="false" customHeight="false" outlineLevel="0" collapsed="false">
      <c r="B4" s="15" t="s">
        <v>119</v>
      </c>
      <c r="C4" s="26" t="n">
        <f aca="false">COLUMN()-2</f>
        <v>1</v>
      </c>
      <c r="D4" s="26" t="n">
        <f aca="false">COLUMN()-2</f>
        <v>2</v>
      </c>
      <c r="E4" s="26" t="n">
        <f aca="false">COLUMN()-2</f>
        <v>3</v>
      </c>
      <c r="F4" s="26" t="n">
        <f aca="false">COLUMN()-2</f>
        <v>4</v>
      </c>
      <c r="G4" s="26" t="n">
        <f aca="false">COLUMN()-2</f>
        <v>5</v>
      </c>
      <c r="H4" s="26" t="n">
        <f aca="false">COLUMN()-2</f>
        <v>6</v>
      </c>
      <c r="I4" s="26" t="n">
        <f aca="false">COLUMN()-2</f>
        <v>7</v>
      </c>
      <c r="J4" s="26" t="n">
        <f aca="false">COLUMN()-2</f>
        <v>8</v>
      </c>
      <c r="K4" s="26" t="n">
        <f aca="false">COLUMN()-2</f>
        <v>9</v>
      </c>
      <c r="L4" s="26" t="n">
        <f aca="false">COLUMN()-2</f>
        <v>10</v>
      </c>
    </row>
    <row r="5" customFormat="false" ht="15" hidden="false" customHeight="false" outlineLevel="0" collapsed="false">
      <c r="B5" s="8" t="s">
        <v>120</v>
      </c>
      <c r="C5" s="27" t="n">
        <f aca="false">COLUMN()-2</f>
        <v>1</v>
      </c>
      <c r="D5" s="27" t="n">
        <f aca="false">COLUMN()-2</f>
        <v>2</v>
      </c>
      <c r="E5" s="27" t="n">
        <f aca="false">COLUMN()-2</f>
        <v>3</v>
      </c>
      <c r="F5" s="27" t="n">
        <f aca="false">COLUMN()-2</f>
        <v>4</v>
      </c>
      <c r="G5" s="27" t="n">
        <f aca="false">COLUMN()-2</f>
        <v>5</v>
      </c>
      <c r="H5" s="27" t="n">
        <f aca="false">COLUMN()-2</f>
        <v>6</v>
      </c>
      <c r="I5" s="27" t="n">
        <f aca="false">COLUMN()-2</f>
        <v>7</v>
      </c>
      <c r="J5" s="27" t="n">
        <f aca="false">COLUMN()-2</f>
        <v>8</v>
      </c>
      <c r="K5" s="27" t="n">
        <f aca="false">COLUMN()-2</f>
        <v>9</v>
      </c>
      <c r="L5" s="27" t="n">
        <f aca="false">COLUMN()-2</f>
        <v>10</v>
      </c>
    </row>
    <row r="6" customFormat="false" ht="15" hidden="false" customHeight="false" outlineLevel="0" collapsed="false">
      <c r="B6" s="6"/>
      <c r="C6" s="6"/>
      <c r="D6" s="6"/>
      <c r="E6" s="6"/>
      <c r="F6" s="6"/>
      <c r="G6" s="6"/>
      <c r="H6" s="6"/>
      <c r="I6" s="6"/>
      <c r="J6" s="6"/>
      <c r="K6" s="6"/>
      <c r="L6" s="6"/>
    </row>
    <row r="7" customFormat="false" ht="15" hidden="false" customHeight="false" outlineLevel="0" collapsed="false">
      <c r="B7" s="29" t="s">
        <v>157</v>
      </c>
      <c r="C7" s="18"/>
      <c r="D7" s="18"/>
      <c r="E7" s="18"/>
      <c r="F7" s="18"/>
      <c r="G7" s="18"/>
      <c r="H7" s="18"/>
      <c r="I7" s="18"/>
      <c r="J7" s="18"/>
      <c r="K7" s="18"/>
      <c r="L7" s="18"/>
    </row>
    <row r="8" customFormat="false" ht="15" hidden="false" customHeight="false" outlineLevel="0" collapsed="false">
      <c r="B8" s="28" t="s">
        <v>158</v>
      </c>
      <c r="C8" s="30" t="n">
        <f aca="false">IF(C5=1,-Buyer_Price,0)</f>
        <v>-39</v>
      </c>
      <c r="D8" s="30" t="n">
        <f aca="false">IF(D5=1,-Buyer_Price,0)</f>
        <v>0</v>
      </c>
      <c r="E8" s="30" t="n">
        <f aca="false">IF(E5=1,-Buyer_Price,0)</f>
        <v>0</v>
      </c>
      <c r="F8" s="30" t="n">
        <f aca="false">IF(F5=1,-Buyer_Price,0)</f>
        <v>0</v>
      </c>
      <c r="G8" s="30" t="n">
        <f aca="false">IF(G5=1,-Buyer_Price,0)</f>
        <v>0</v>
      </c>
      <c r="H8" s="30" t="n">
        <f aca="false">IF(H5=1,-Buyer_Price,0)</f>
        <v>0</v>
      </c>
      <c r="I8" s="30" t="n">
        <f aca="false">IF(I5=1,-Buyer_Price,0)</f>
        <v>0</v>
      </c>
      <c r="J8" s="30" t="n">
        <f aca="false">IF(J5=1,-Buyer_Price,0)</f>
        <v>0</v>
      </c>
      <c r="K8" s="30" t="n">
        <f aca="false">IF(K5=1,-Buyer_Price,0)</f>
        <v>0</v>
      </c>
      <c r="L8" s="30" t="n">
        <f aca="false">IF(L5=1,-Buyer_Price,0)</f>
        <v>0</v>
      </c>
    </row>
    <row r="9" customFormat="false" ht="15" hidden="false" customHeight="false" outlineLevel="0" collapsed="false">
      <c r="B9" s="28" t="s">
        <v>159</v>
      </c>
      <c r="C9" s="30" t="n">
        <f aca="false">-Portfolio_Runoff!C23*(LP_Commitment/Fund_Size)</f>
        <v>-1.07142857142857</v>
      </c>
      <c r="D9" s="30" t="n">
        <f aca="false">-Portfolio_Runoff!D23*(LP_Commitment/Fund_Size)</f>
        <v>-1.07142857142857</v>
      </c>
      <c r="E9" s="30" t="n">
        <f aca="false">-Portfolio_Runoff!E23*(LP_Commitment/Fund_Size)</f>
        <v>-1.07142857142857</v>
      </c>
      <c r="F9" s="30" t="n">
        <f aca="false">-Portfolio_Runoff!F23*(LP_Commitment/Fund_Size)</f>
        <v>-1.07142857142857</v>
      </c>
      <c r="G9" s="30" t="n">
        <f aca="false">-Portfolio_Runoff!G23*(LP_Commitment/Fund_Size)</f>
        <v>-1.07142857142857</v>
      </c>
      <c r="H9" s="30" t="n">
        <f aca="false">-Portfolio_Runoff!H23*(LP_Commitment/Fund_Size)</f>
        <v>-1.07142857142857</v>
      </c>
      <c r="I9" s="30" t="n">
        <f aca="false">-Portfolio_Runoff!I23*(LP_Commitment/Fund_Size)</f>
        <v>-1.07142857142857</v>
      </c>
      <c r="J9" s="30" t="n">
        <f aca="false">-Portfolio_Runoff!J23*(LP_Commitment/Fund_Size)</f>
        <v>-0</v>
      </c>
      <c r="K9" s="30" t="n">
        <f aca="false">-Portfolio_Runoff!K23*(LP_Commitment/Fund_Size)</f>
        <v>-0</v>
      </c>
      <c r="L9" s="30" t="n">
        <f aca="false">-Portfolio_Runoff!L23*(LP_Commitment/Fund_Size)</f>
        <v>-0</v>
      </c>
    </row>
    <row r="10" customFormat="false" ht="15" hidden="false" customHeight="false" outlineLevel="0" collapsed="false">
      <c r="B10" s="32" t="s">
        <v>160</v>
      </c>
      <c r="C10" s="33" t="n">
        <f aca="false">C8+C9</f>
        <v>-40.0714285714286</v>
      </c>
      <c r="D10" s="33" t="n">
        <f aca="false">D8+D9</f>
        <v>-1.07142857142857</v>
      </c>
      <c r="E10" s="33" t="n">
        <f aca="false">E8+E9</f>
        <v>-1.07142857142857</v>
      </c>
      <c r="F10" s="33" t="n">
        <f aca="false">F8+F9</f>
        <v>-1.07142857142857</v>
      </c>
      <c r="G10" s="33" t="n">
        <f aca="false">G8+G9</f>
        <v>-1.07142857142857</v>
      </c>
      <c r="H10" s="33" t="n">
        <f aca="false">H8+H9</f>
        <v>-1.07142857142857</v>
      </c>
      <c r="I10" s="33" t="n">
        <f aca="false">I8+I9</f>
        <v>-1.07142857142857</v>
      </c>
      <c r="J10" s="33" t="n">
        <f aca="false">J8+J9</f>
        <v>0</v>
      </c>
      <c r="K10" s="33" t="n">
        <f aca="false">K8+K9</f>
        <v>0</v>
      </c>
      <c r="L10" s="33" t="n">
        <f aca="false">L8+L9</f>
        <v>0</v>
      </c>
    </row>
    <row r="11" customFormat="false" ht="15" hidden="false" customHeight="false" outlineLevel="0" collapsed="false">
      <c r="B11" s="28" t="s">
        <v>161</v>
      </c>
      <c r="C11" s="30" t="n">
        <f aca="false">Fund_Economics!C26*(LP_Commitment/Fund_Size)</f>
        <v>4.5885</v>
      </c>
      <c r="D11" s="30" t="n">
        <f aca="false">Fund_Economics!D26*(LP_Commitment/Fund_Size)</f>
        <v>6.4176</v>
      </c>
      <c r="E11" s="30" t="n">
        <f aca="false">Fund_Economics!E26*(LP_Commitment/Fund_Size)</f>
        <v>9.357225</v>
      </c>
      <c r="F11" s="30" t="n">
        <f aca="false">Fund_Economics!F26*(LP_Commitment/Fund_Size)</f>
        <v>5.359335</v>
      </c>
      <c r="G11" s="30" t="n">
        <f aca="false">Fund_Economics!G26*(LP_Commitment/Fund_Size)</f>
        <v>2.960601</v>
      </c>
      <c r="H11" s="30" t="n">
        <f aca="false">Fund_Economics!H26*(LP_Commitment/Fund_Size)</f>
        <v>1.4014239</v>
      </c>
      <c r="I11" s="30" t="n">
        <f aca="false">Fund_Economics!I26*(LP_Commitment/Fund_Size)</f>
        <v>17.7128151</v>
      </c>
      <c r="J11" s="30" t="n">
        <f aca="false">Fund_Economics!J26*(LP_Commitment/Fund_Size)</f>
        <v>0</v>
      </c>
      <c r="K11" s="30" t="n">
        <f aca="false">Fund_Economics!K26*(LP_Commitment/Fund_Size)</f>
        <v>0</v>
      </c>
      <c r="L11" s="30" t="n">
        <f aca="false">Fund_Economics!L26*(LP_Commitment/Fund_Size)</f>
        <v>0</v>
      </c>
    </row>
    <row r="12" customFormat="false" ht="15" hidden="false" customHeight="false" outlineLevel="0" collapsed="false">
      <c r="B12" s="32" t="s">
        <v>162</v>
      </c>
      <c r="C12" s="33" t="n">
        <f aca="false">C10+C11</f>
        <v>-35.4829285714286</v>
      </c>
      <c r="D12" s="33" t="n">
        <f aca="false">D10+D11</f>
        <v>5.34617142857143</v>
      </c>
      <c r="E12" s="33" t="n">
        <f aca="false">E10+E11</f>
        <v>8.28579642857143</v>
      </c>
      <c r="F12" s="33" t="n">
        <f aca="false">F10+F11</f>
        <v>4.28790642857143</v>
      </c>
      <c r="G12" s="33" t="n">
        <f aca="false">G10+G11</f>
        <v>1.88917242857143</v>
      </c>
      <c r="H12" s="33" t="n">
        <f aca="false">H10+H11</f>
        <v>0.329995328571429</v>
      </c>
      <c r="I12" s="33" t="n">
        <f aca="false">I10+I11</f>
        <v>16.6413865285714</v>
      </c>
      <c r="J12" s="33" t="n">
        <f aca="false">J10+J11</f>
        <v>0</v>
      </c>
      <c r="K12" s="33" t="n">
        <f aca="false">K10+K11</f>
        <v>0</v>
      </c>
      <c r="L12" s="33" t="n">
        <f aca="false">L10+L11</f>
        <v>0</v>
      </c>
    </row>
    <row r="13" customFormat="false" ht="15" hidden="false" customHeight="false" outlineLevel="0" collapsed="false">
      <c r="B13" s="28" t="s">
        <v>163</v>
      </c>
      <c r="C13" s="30" t="n">
        <f aca="false">C12</f>
        <v>-35.4829285714286</v>
      </c>
      <c r="D13" s="30" t="n">
        <f aca="false">C13+D12</f>
        <v>-30.1367571428571</v>
      </c>
      <c r="E13" s="30" t="n">
        <f aca="false">D13+E12</f>
        <v>-21.8509607142857</v>
      </c>
      <c r="F13" s="30" t="n">
        <f aca="false">E13+F12</f>
        <v>-17.5630542857143</v>
      </c>
      <c r="G13" s="30" t="n">
        <f aca="false">F13+G12</f>
        <v>-15.6738818571429</v>
      </c>
      <c r="H13" s="30" t="n">
        <f aca="false">G13+H12</f>
        <v>-15.3438865285714</v>
      </c>
      <c r="I13" s="30" t="n">
        <f aca="false">H13+I12</f>
        <v>1.2975</v>
      </c>
      <c r="J13" s="30" t="n">
        <f aca="false">I13+J12</f>
        <v>1.2975</v>
      </c>
      <c r="K13" s="30" t="n">
        <f aca="false">J13+K12</f>
        <v>1.2975</v>
      </c>
      <c r="L13" s="30" t="n">
        <f aca="false">K13+L12</f>
        <v>1.2975</v>
      </c>
    </row>
    <row r="14" customFormat="false" ht="15" hidden="false" customHeight="false" outlineLevel="0" collapsed="false">
      <c r="B14" s="6"/>
      <c r="C14" s="6"/>
      <c r="D14" s="6"/>
      <c r="E14" s="6"/>
      <c r="F14" s="6"/>
      <c r="G14" s="6"/>
      <c r="H14" s="6"/>
      <c r="I14" s="6"/>
      <c r="J14" s="6"/>
      <c r="K14" s="6"/>
      <c r="L14" s="6"/>
    </row>
    <row r="15" customFormat="false" ht="15" hidden="false" customHeight="false" outlineLevel="0" collapsed="false">
      <c r="B15" s="29" t="s">
        <v>164</v>
      </c>
      <c r="C15" s="18"/>
      <c r="D15" s="18"/>
      <c r="E15" s="18"/>
      <c r="F15" s="18"/>
      <c r="G15" s="18"/>
      <c r="H15" s="18"/>
      <c r="I15" s="18"/>
      <c r="J15" s="18"/>
      <c r="K15" s="18"/>
      <c r="L15" s="18"/>
    </row>
    <row r="16" customFormat="false" ht="15" hidden="false" customHeight="false" outlineLevel="0" collapsed="false">
      <c r="B16" s="28" t="s">
        <v>165</v>
      </c>
      <c r="C16" s="30" t="n">
        <f aca="false">-C10</f>
        <v>40.0714285714286</v>
      </c>
      <c r="D16" s="30" t="n">
        <f aca="false">C16+MAX(-D10,0)</f>
        <v>41.1428571428571</v>
      </c>
      <c r="E16" s="30" t="n">
        <f aca="false">D16+MAX(-E10,0)</f>
        <v>42.2142857142857</v>
      </c>
      <c r="F16" s="30" t="n">
        <f aca="false">E16+MAX(-F10,0)</f>
        <v>43.2857142857143</v>
      </c>
      <c r="G16" s="30" t="n">
        <f aca="false">F16+MAX(-G10,0)</f>
        <v>44.3571428571429</v>
      </c>
      <c r="H16" s="30" t="n">
        <f aca="false">G16+MAX(-H10,0)</f>
        <v>45.4285714285714</v>
      </c>
      <c r="I16" s="30" t="n">
        <f aca="false">H16+MAX(-I10,0)</f>
        <v>46.5</v>
      </c>
      <c r="J16" s="30" t="n">
        <f aca="false">I16+MAX(-J10,0)</f>
        <v>46.5</v>
      </c>
      <c r="K16" s="30" t="n">
        <f aca="false">J16+MAX(-K10,0)</f>
        <v>46.5</v>
      </c>
      <c r="L16" s="30" t="n">
        <f aca="false">K16+MAX(-L10,0)</f>
        <v>46.5</v>
      </c>
    </row>
    <row r="17" customFormat="false" ht="15" hidden="false" customHeight="false" outlineLevel="0" collapsed="false">
      <c r="B17" s="28" t="s">
        <v>166</v>
      </c>
      <c r="C17" s="30" t="n">
        <f aca="false">C11</f>
        <v>4.5885</v>
      </c>
      <c r="D17" s="30" t="n">
        <f aca="false">C17+D11</f>
        <v>11.0061</v>
      </c>
      <c r="E17" s="30" t="n">
        <f aca="false">D17+E11</f>
        <v>20.363325</v>
      </c>
      <c r="F17" s="30" t="n">
        <f aca="false">E17+F11</f>
        <v>25.72266</v>
      </c>
      <c r="G17" s="30" t="n">
        <f aca="false">F17+G11</f>
        <v>28.683261</v>
      </c>
      <c r="H17" s="30" t="n">
        <f aca="false">G17+H11</f>
        <v>30.0846849</v>
      </c>
      <c r="I17" s="30" t="n">
        <f aca="false">H17+I11</f>
        <v>47.7975</v>
      </c>
      <c r="J17" s="30" t="n">
        <f aca="false">I17+J11</f>
        <v>47.7975</v>
      </c>
      <c r="K17" s="30" t="n">
        <f aca="false">J17+K11</f>
        <v>47.7975</v>
      </c>
      <c r="L17" s="30" t="n">
        <f aca="false">K17+L11</f>
        <v>47.7975</v>
      </c>
    </row>
    <row r="18" customFormat="false" ht="15" hidden="false" customHeight="false" outlineLevel="0" collapsed="false">
      <c r="B18" s="28" t="s">
        <v>167</v>
      </c>
      <c r="C18" s="36" t="n">
        <f aca="false">IFERROR(C17/C16,0)</f>
        <v>0.114508021390374</v>
      </c>
      <c r="D18" s="36" t="n">
        <f aca="false">IFERROR(D17/D16,0)</f>
        <v>0.267509375</v>
      </c>
      <c r="E18" s="36" t="n">
        <f aca="false">IFERROR(E17/E16,0)</f>
        <v>0.482379949238579</v>
      </c>
      <c r="F18" s="36" t="n">
        <f aca="false">IFERROR(F17/F16,0)</f>
        <v>0.594252871287129</v>
      </c>
      <c r="G18" s="36" t="n">
        <f aca="false">IFERROR(G17/G16,0)</f>
        <v>0.646643565217392</v>
      </c>
      <c r="H18" s="36" t="n">
        <f aca="false">IFERROR(H17/H16,0)</f>
        <v>0.662241491509434</v>
      </c>
      <c r="I18" s="36" t="n">
        <f aca="false">IFERROR(I17/I16,0)</f>
        <v>1.02790322580645</v>
      </c>
      <c r="J18" s="36" t="n">
        <f aca="false">IFERROR(J17/J16,0)</f>
        <v>1.02790322580645</v>
      </c>
      <c r="K18" s="36" t="n">
        <f aca="false">IFERROR(K17/K16,0)</f>
        <v>1.02790322580645</v>
      </c>
      <c r="L18" s="36" t="n">
        <f aca="false">IFERROR(L17/L16,0)</f>
        <v>1.02790322580645</v>
      </c>
    </row>
    <row r="19" customFormat="false" ht="15" hidden="false" customHeight="false" outlineLevel="0" collapsed="false">
      <c r="B19" s="28" t="s">
        <v>168</v>
      </c>
      <c r="C19" s="31" t="n">
        <f aca="false">IFERROR(IRR(C12),0)</f>
        <v>0</v>
      </c>
      <c r="D19" s="31" t="n">
        <f aca="false">IFERROR(IRR(C12:D12),0)</f>
        <v>0</v>
      </c>
      <c r="E19" s="31" t="n">
        <f aca="false">IFERROR(IRR(C12:E12),0)</f>
        <v>-1.41373642159052</v>
      </c>
      <c r="F19" s="31" t="n">
        <f aca="false">IFERROR(IRR(C12:F12),0)</f>
        <v>-0.285639414351434</v>
      </c>
      <c r="G19" s="31" t="n">
        <f aca="false">IFERROR(IRR(C12:G12),0)</f>
        <v>-0.228155703084234</v>
      </c>
      <c r="H19" s="31" t="n">
        <f aca="false">IFERROR(IRR(C12:H12),0)</f>
        <v>-0.2175503959073</v>
      </c>
      <c r="I19" s="31" t="n">
        <f aca="false">IFERROR(IRR(C12:I12),0)</f>
        <v>0.00927141101644756</v>
      </c>
      <c r="J19" s="31" t="n">
        <f aca="false">IFERROR(IRR(C12:J12),0)</f>
        <v>0.00927141101644756</v>
      </c>
      <c r="K19" s="31" t="n">
        <f aca="false">IFERROR(IRR(C12:K12),0)</f>
        <v>0.00927141101644756</v>
      </c>
      <c r="L19" s="31" t="n">
        <f aca="false">IFERROR(IRR(C12:L12),0)</f>
        <v>0.00927141101644756</v>
      </c>
    </row>
    <row r="20" customFormat="false" ht="15" hidden="false" customHeight="false" outlineLevel="0" collapsed="false">
      <c r="B20" s="28" t="s">
        <v>169</v>
      </c>
      <c r="C20" s="31" t="n">
        <f aca="false">C19-Target_IRR</f>
        <v>-0.18</v>
      </c>
      <c r="D20" s="31" t="n">
        <f aca="false">D19-Target_IRR</f>
        <v>-0.18</v>
      </c>
      <c r="E20" s="31" t="n">
        <f aca="false">E19-Target_IRR</f>
        <v>-1.59373642159052</v>
      </c>
      <c r="F20" s="31" t="n">
        <f aca="false">F19-Target_IRR</f>
        <v>-0.465639414351434</v>
      </c>
      <c r="G20" s="31" t="n">
        <f aca="false">G19-Target_IRR</f>
        <v>-0.408155703084234</v>
      </c>
      <c r="H20" s="31" t="n">
        <f aca="false">H19-Target_IRR</f>
        <v>-0.3975503959073</v>
      </c>
      <c r="I20" s="31" t="n">
        <f aca="false">I19-Target_IRR</f>
        <v>-0.170728588983552</v>
      </c>
      <c r="J20" s="31" t="n">
        <f aca="false">J19-Target_IRR</f>
        <v>-0.170728588983552</v>
      </c>
      <c r="K20" s="31" t="n">
        <f aca="false">K19-Target_IRR</f>
        <v>-0.170728588983552</v>
      </c>
      <c r="L20" s="31" t="n">
        <f aca="false">L19-Target_IRR</f>
        <v>-0.170728588983552</v>
      </c>
    </row>
    <row r="21" customFormat="false" ht="15" hidden="false" customHeight="false" outlineLevel="0" collapsed="false">
      <c r="B21" s="28" t="s">
        <v>170</v>
      </c>
      <c r="C21" s="36" t="n">
        <f aca="false">C18-Target_MOIC</f>
        <v>-1.48549197860963</v>
      </c>
      <c r="D21" s="36" t="n">
        <f aca="false">D18-Target_MOIC</f>
        <v>-1.332490625</v>
      </c>
      <c r="E21" s="36" t="n">
        <f aca="false">E18-Target_MOIC</f>
        <v>-1.11762005076142</v>
      </c>
      <c r="F21" s="36" t="n">
        <f aca="false">F18-Target_MOIC</f>
        <v>-1.00574712871287</v>
      </c>
      <c r="G21" s="36" t="n">
        <f aca="false">G18-Target_MOIC</f>
        <v>-0.953356434782609</v>
      </c>
      <c r="H21" s="36" t="n">
        <f aca="false">H18-Target_MOIC</f>
        <v>-0.937758508490566</v>
      </c>
      <c r="I21" s="36" t="n">
        <f aca="false">I18-Target_MOIC</f>
        <v>-0.572096774193548</v>
      </c>
      <c r="J21" s="36" t="n">
        <f aca="false">J18-Target_MOIC</f>
        <v>-0.572096774193548</v>
      </c>
      <c r="K21" s="36" t="n">
        <f aca="false">K18-Target_MOIC</f>
        <v>-0.572096774193548</v>
      </c>
      <c r="L21" s="36" t="n">
        <f aca="false">L18-Target_MOIC</f>
        <v>-0.572096774193548</v>
      </c>
    </row>
    <row r="22" customFormat="false" ht="15" hidden="false" customHeight="false" outlineLevel="0" collapsed="false">
      <c r="B22" s="6"/>
      <c r="C22" s="6"/>
      <c r="D22" s="6"/>
      <c r="E22" s="6"/>
      <c r="F22" s="6"/>
      <c r="G22" s="6"/>
      <c r="H22" s="6"/>
      <c r="I22" s="6"/>
      <c r="J22" s="6"/>
      <c r="K22" s="6"/>
      <c r="L22" s="6"/>
    </row>
    <row r="23" customFormat="false" ht="15" hidden="false" customHeight="false" outlineLevel="0" collapsed="false">
      <c r="B23" s="29" t="s">
        <v>171</v>
      </c>
      <c r="C23" s="18"/>
      <c r="D23" s="18"/>
      <c r="E23" s="18"/>
      <c r="F23" s="18"/>
      <c r="G23" s="18"/>
      <c r="H23" s="18"/>
      <c r="I23" s="18"/>
      <c r="J23" s="18"/>
      <c r="K23" s="18"/>
      <c r="L23" s="18"/>
    </row>
    <row r="24" customFormat="false" ht="15" hidden="false" customHeight="false" outlineLevel="0" collapsed="false">
      <c r="B24" s="28" t="s">
        <v>172</v>
      </c>
      <c r="C24" s="30" t="n">
        <f aca="false">Portfolio_Runoff!C12*(LP_Commitment/Fund_Size)</f>
        <v>46.8</v>
      </c>
      <c r="D24" s="30" t="n">
        <f aca="false">Portfolio_Runoff!D12*(LP_Commitment/Fund_Size)</f>
        <v>39.78</v>
      </c>
      <c r="E24" s="30" t="n">
        <f aca="false">Portfolio_Runoff!E12*(LP_Commitment/Fund_Size)</f>
        <v>29.835</v>
      </c>
      <c r="F24" s="30" t="n">
        <f aca="false">Portfolio_Runoff!F12*(LP_Commitment/Fund_Size)</f>
        <v>23.868</v>
      </c>
      <c r="G24" s="30" t="n">
        <f aca="false">Portfolio_Runoff!G12*(LP_Commitment/Fund_Size)</f>
        <v>20.2878</v>
      </c>
      <c r="H24" s="30" t="n">
        <f aca="false">Portfolio_Runoff!H12*(LP_Commitment/Fund_Size)</f>
        <v>18.25902</v>
      </c>
      <c r="I24" s="30" t="n">
        <f aca="false">Portfolio_Runoff!I12*(LP_Commitment/Fund_Size)</f>
        <v>0</v>
      </c>
      <c r="J24" s="30" t="n">
        <f aca="false">Portfolio_Runoff!J12*(LP_Commitment/Fund_Size)</f>
        <v>0</v>
      </c>
      <c r="K24" s="30" t="n">
        <f aca="false">Portfolio_Runoff!K12*(LP_Commitment/Fund_Size)</f>
        <v>0</v>
      </c>
      <c r="L24" s="30" t="n">
        <f aca="false">Portfolio_Runoff!L12*(LP_Commitment/Fund_Size)</f>
        <v>0</v>
      </c>
    </row>
    <row r="25" customFormat="false" ht="15" hidden="false" customHeight="false" outlineLevel="0" collapsed="false">
      <c r="B25" s="28" t="s">
        <v>173</v>
      </c>
      <c r="C25" s="36" t="n">
        <f aca="false">IFERROR((C17+C24)/C16,0)</f>
        <v>1.28242245989305</v>
      </c>
      <c r="D25" s="36" t="n">
        <f aca="false">IFERROR((D17+D24)/D16,0)</f>
        <v>1.234384375</v>
      </c>
      <c r="E25" s="36" t="n">
        <f aca="false">IFERROR((E17+E24)/E16,0)</f>
        <v>1.18913121827411</v>
      </c>
      <c r="F25" s="36" t="n">
        <f aca="false">IFERROR((F17+F24)/F16,0)</f>
        <v>1.14565881188119</v>
      </c>
      <c r="G25" s="36" t="n">
        <f aca="false">IFERROR((G17+G24)/G16,0)</f>
        <v>1.10401747826087</v>
      </c>
      <c r="H25" s="36" t="n">
        <f aca="false">IFERROR((H17+H24)/H16,0)</f>
        <v>1.06416960471698</v>
      </c>
      <c r="I25" s="36" t="n">
        <f aca="false">IFERROR((I17+I24)/I16,0)</f>
        <v>1.02790322580645</v>
      </c>
      <c r="J25" s="36" t="n">
        <f aca="false">IFERROR((J17+J24)/J16,0)</f>
        <v>1.02790322580645</v>
      </c>
      <c r="K25" s="36" t="n">
        <f aca="false">IFERROR((K17+K24)/K16,0)</f>
        <v>1.02790322580645</v>
      </c>
      <c r="L25" s="36" t="n">
        <f aca="false">IFERROR((L17+L24)/L16,0)</f>
        <v>1.02790322580645</v>
      </c>
    </row>
    <row r="26" customFormat="false" ht="15" hidden="false" customHeight="false" outlineLevel="0" collapsed="false">
      <c r="B26" s="28" t="s">
        <v>174</v>
      </c>
      <c r="C26" s="36" t="n">
        <f aca="false">IFERROR(C17/C16,0)</f>
        <v>0.114508021390374</v>
      </c>
      <c r="D26" s="36" t="n">
        <f aca="false">IFERROR(D17/D16,0)</f>
        <v>0.267509375</v>
      </c>
      <c r="E26" s="36" t="n">
        <f aca="false">IFERROR(E17/E16,0)</f>
        <v>0.482379949238579</v>
      </c>
      <c r="F26" s="36" t="n">
        <f aca="false">IFERROR(F17/F16,0)</f>
        <v>0.594252871287129</v>
      </c>
      <c r="G26" s="36" t="n">
        <f aca="false">IFERROR(G17/G16,0)</f>
        <v>0.646643565217392</v>
      </c>
      <c r="H26" s="36" t="n">
        <f aca="false">IFERROR(H17/H16,0)</f>
        <v>0.662241491509434</v>
      </c>
      <c r="I26" s="36" t="n">
        <f aca="false">IFERROR(I17/I16,0)</f>
        <v>1.02790322580645</v>
      </c>
      <c r="J26" s="36" t="n">
        <f aca="false">IFERROR(J17/J16,0)</f>
        <v>1.02790322580645</v>
      </c>
      <c r="K26" s="36" t="n">
        <f aca="false">IFERROR(K17/K16,0)</f>
        <v>1.02790322580645</v>
      </c>
      <c r="L26" s="36" t="n">
        <f aca="false">IFERROR(L17/L16,0)</f>
        <v>1.02790322580645</v>
      </c>
    </row>
    <row r="27" customFormat="false" ht="15" hidden="false" customHeight="false" outlineLevel="0" collapsed="false">
      <c r="B27" s="28" t="s">
        <v>175</v>
      </c>
      <c r="C27" s="36" t="n">
        <f aca="false">IFERROR(C24/C16,0)</f>
        <v>1.16791443850267</v>
      </c>
      <c r="D27" s="36" t="n">
        <f aca="false">IFERROR(D24/D16,0)</f>
        <v>0.966875</v>
      </c>
      <c r="E27" s="36" t="n">
        <f aca="false">IFERROR(E24/E16,0)</f>
        <v>0.706751269035533</v>
      </c>
      <c r="F27" s="36" t="n">
        <f aca="false">IFERROR(F24/F16,0)</f>
        <v>0.55140594059406</v>
      </c>
      <c r="G27" s="36" t="n">
        <f aca="false">IFERROR(G24/G16,0)</f>
        <v>0.457373913043478</v>
      </c>
      <c r="H27" s="36" t="n">
        <f aca="false">IFERROR(H24/H16,0)</f>
        <v>0.401928113207547</v>
      </c>
      <c r="I27" s="36" t="n">
        <f aca="false">IFERROR(I24/I16,0)</f>
        <v>0</v>
      </c>
      <c r="J27" s="36" t="n">
        <f aca="false">IFERROR(J24/J16,0)</f>
        <v>0</v>
      </c>
      <c r="K27" s="36" t="n">
        <f aca="false">IFERROR(K24/K16,0)</f>
        <v>0</v>
      </c>
      <c r="L27" s="36" t="n">
        <f aca="false">IFERROR(L24/L16,0)</f>
        <v>0</v>
      </c>
    </row>
    <row r="28" customFormat="false" ht="15" hidden="false" customHeight="false" outlineLevel="0" collapsed="false">
      <c r="B28" s="6"/>
      <c r="C28" s="6"/>
      <c r="D28" s="6"/>
      <c r="E28" s="6"/>
      <c r="F28" s="6"/>
      <c r="G28" s="6"/>
      <c r="H28" s="6"/>
      <c r="I28" s="6"/>
      <c r="J28" s="6"/>
      <c r="K28" s="6"/>
      <c r="L28" s="6"/>
    </row>
    <row r="29" customFormat="false" ht="15" hidden="false" customHeight="false" outlineLevel="0" collapsed="false">
      <c r="B29" s="29" t="s">
        <v>176</v>
      </c>
      <c r="C29" s="18"/>
      <c r="D29" s="18"/>
      <c r="E29" s="18"/>
      <c r="F29" s="18"/>
      <c r="G29" s="18"/>
      <c r="H29" s="18"/>
      <c r="I29" s="18"/>
      <c r="J29" s="18"/>
      <c r="K29" s="18"/>
      <c r="L29" s="18"/>
    </row>
    <row r="30" customFormat="false" ht="15" hidden="false" customHeight="false" outlineLevel="0" collapsed="false">
      <c r="B30" s="28" t="s">
        <v>177</v>
      </c>
      <c r="C30" s="37" t="n">
        <f aca="false">1/(1+Buyer_Disc_Rate)^C5</f>
        <v>0.869565217391304</v>
      </c>
      <c r="D30" s="37" t="n">
        <f aca="false">1/(1+Buyer_Disc_Rate)^D5</f>
        <v>0.756143667296787</v>
      </c>
      <c r="E30" s="37" t="n">
        <f aca="false">1/(1+Buyer_Disc_Rate)^E5</f>
        <v>0.657516232431988</v>
      </c>
      <c r="F30" s="37" t="n">
        <f aca="false">1/(1+Buyer_Disc_Rate)^F5</f>
        <v>0.571753245593033</v>
      </c>
      <c r="G30" s="37" t="n">
        <f aca="false">1/(1+Buyer_Disc_Rate)^G5</f>
        <v>0.49717673529829</v>
      </c>
      <c r="H30" s="37" t="n">
        <f aca="false">1/(1+Buyer_Disc_Rate)^H5</f>
        <v>0.432327595911556</v>
      </c>
      <c r="I30" s="37" t="n">
        <f aca="false">1/(1+Buyer_Disc_Rate)^I5</f>
        <v>0.375937039923093</v>
      </c>
      <c r="J30" s="37" t="n">
        <f aca="false">1/(1+Buyer_Disc_Rate)^J5</f>
        <v>0.326901773846168</v>
      </c>
      <c r="K30" s="37" t="n">
        <f aca="false">1/(1+Buyer_Disc_Rate)^K5</f>
        <v>0.284262412040146</v>
      </c>
      <c r="L30" s="37" t="n">
        <f aca="false">1/(1+Buyer_Disc_Rate)^L5</f>
        <v>0.247184706121866</v>
      </c>
    </row>
    <row r="31" customFormat="false" ht="15" hidden="false" customHeight="false" outlineLevel="0" collapsed="false">
      <c r="B31" s="28" t="s">
        <v>178</v>
      </c>
      <c r="C31" s="30" t="n">
        <f aca="false">C12*C30</f>
        <v>-30.8547204968944</v>
      </c>
      <c r="D31" s="30" t="n">
        <f aca="false">D12*D30</f>
        <v>4.0424736699973</v>
      </c>
      <c r="E31" s="30" t="n">
        <f aca="false">E12*E30</f>
        <v>5.44804565041271</v>
      </c>
      <c r="F31" s="30" t="n">
        <f aca="false">F12*F30</f>
        <v>2.45162441733495</v>
      </c>
      <c r="G31" s="30" t="n">
        <f aca="false">G12*G30</f>
        <v>0.939252580452684</v>
      </c>
      <c r="H31" s="30" t="n">
        <f aca="false">H12*H30</f>
        <v>0.14266608706333</v>
      </c>
      <c r="I31" s="30" t="n">
        <f aca="false">I12*I30</f>
        <v>6.25611359176717</v>
      </c>
      <c r="J31" s="30" t="n">
        <f aca="false">J12*J30</f>
        <v>0</v>
      </c>
      <c r="K31" s="30" t="n">
        <f aca="false">K12*K30</f>
        <v>0</v>
      </c>
      <c r="L31" s="30" t="n">
        <f aca="false">L12*L30</f>
        <v>0</v>
      </c>
    </row>
    <row r="32" customFormat="false" ht="15" hidden="false" customHeight="false" outlineLevel="0" collapsed="false">
      <c r="B32" s="32" t="s">
        <v>179</v>
      </c>
      <c r="C32" s="33" t="n">
        <f aca="false">C31</f>
        <v>-30.8547204968944</v>
      </c>
      <c r="D32" s="33" t="n">
        <f aca="false">C32+D31</f>
        <v>-26.8122468268971</v>
      </c>
      <c r="E32" s="33" t="n">
        <f aca="false">D32+E31</f>
        <v>-21.3642011764844</v>
      </c>
      <c r="F32" s="33" t="n">
        <f aca="false">E32+F31</f>
        <v>-18.9125767591495</v>
      </c>
      <c r="G32" s="33" t="n">
        <f aca="false">F32+G31</f>
        <v>-17.9733241786968</v>
      </c>
      <c r="H32" s="33" t="n">
        <f aca="false">G32+H31</f>
        <v>-17.8306580916334</v>
      </c>
      <c r="I32" s="33" t="n">
        <f aca="false">H32+I31</f>
        <v>-11.5745444998663</v>
      </c>
      <c r="J32" s="33" t="n">
        <f aca="false">I32+J31</f>
        <v>-11.5745444998663</v>
      </c>
      <c r="K32" s="33" t="n">
        <f aca="false">J32+K31</f>
        <v>-11.5745444998663</v>
      </c>
      <c r="L32" s="33" t="n">
        <f aca="false">K32+L31</f>
        <v>-11.5745444998663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4"/>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180</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181</v>
      </c>
      <c r="C3" s="2"/>
      <c r="D3" s="2"/>
      <c r="E3" s="2"/>
      <c r="F3" s="2"/>
      <c r="G3" s="2"/>
      <c r="H3" s="2"/>
      <c r="I3" s="2"/>
      <c r="J3" s="2"/>
      <c r="K3" s="2"/>
      <c r="L3" s="2"/>
      <c r="M3" s="1"/>
      <c r="N3" s="1"/>
      <c r="O3" s="1"/>
      <c r="P3" s="1"/>
      <c r="Q3" s="1"/>
      <c r="R3" s="1"/>
      <c r="S3" s="1"/>
      <c r="T3" s="1"/>
      <c r="U3" s="1"/>
      <c r="V3" s="1"/>
      <c r="W3" s="1"/>
      <c r="X3" s="1"/>
      <c r="Y3" s="1"/>
      <c r="Z3" s="1"/>
      <c r="AA3" s="1"/>
      <c r="AB3" s="1"/>
      <c r="AC3" s="1"/>
      <c r="AD3" s="1"/>
    </row>
    <row r="4" customFormat="false" ht="15" hidden="false" customHeight="false" outlineLevel="0" collapsed="false">
      <c r="B4" s="15" t="s">
        <v>119</v>
      </c>
      <c r="C4" s="26" t="n">
        <f aca="false">COLUMN()-2</f>
        <v>1</v>
      </c>
      <c r="D4" s="26" t="n">
        <f aca="false">COLUMN()-2</f>
        <v>2</v>
      </c>
      <c r="E4" s="26" t="n">
        <f aca="false">COLUMN()-2</f>
        <v>3</v>
      </c>
      <c r="F4" s="26" t="n">
        <f aca="false">COLUMN()-2</f>
        <v>4</v>
      </c>
      <c r="G4" s="26" t="n">
        <f aca="false">COLUMN()-2</f>
        <v>5</v>
      </c>
      <c r="H4" s="26" t="n">
        <f aca="false">COLUMN()-2</f>
        <v>6</v>
      </c>
      <c r="I4" s="26" t="n">
        <f aca="false">COLUMN()-2</f>
        <v>7</v>
      </c>
      <c r="J4" s="26" t="n">
        <f aca="false">COLUMN()-2</f>
        <v>8</v>
      </c>
      <c r="K4" s="26" t="n">
        <f aca="false">COLUMN()-2</f>
        <v>9</v>
      </c>
      <c r="L4" s="26" t="n">
        <f aca="false">COLUMN()-2</f>
        <v>10</v>
      </c>
    </row>
    <row r="5" customFormat="false" ht="15" hidden="false" customHeight="false" outlineLevel="0" collapsed="false">
      <c r="B5" s="8" t="s">
        <v>120</v>
      </c>
      <c r="C5" s="27" t="n">
        <f aca="false">COLUMN()-2</f>
        <v>1</v>
      </c>
      <c r="D5" s="27" t="n">
        <f aca="false">COLUMN()-2</f>
        <v>2</v>
      </c>
      <c r="E5" s="27" t="n">
        <f aca="false">COLUMN()-2</f>
        <v>3</v>
      </c>
      <c r="F5" s="27" t="n">
        <f aca="false">COLUMN()-2</f>
        <v>4</v>
      </c>
      <c r="G5" s="27" t="n">
        <f aca="false">COLUMN()-2</f>
        <v>5</v>
      </c>
      <c r="H5" s="27" t="n">
        <f aca="false">COLUMN()-2</f>
        <v>6</v>
      </c>
      <c r="I5" s="27" t="n">
        <f aca="false">COLUMN()-2</f>
        <v>7</v>
      </c>
      <c r="J5" s="27" t="n">
        <f aca="false">COLUMN()-2</f>
        <v>8</v>
      </c>
      <c r="K5" s="27" t="n">
        <f aca="false">COLUMN()-2</f>
        <v>9</v>
      </c>
      <c r="L5" s="27" t="n">
        <f aca="false">COLUMN()-2</f>
        <v>10</v>
      </c>
    </row>
    <row r="6" customFormat="false" ht="15" hidden="false" customHeight="false" outlineLevel="0" collapsed="false">
      <c r="B6" s="6"/>
      <c r="C6" s="6"/>
      <c r="D6" s="6"/>
      <c r="E6" s="6"/>
      <c r="F6" s="6"/>
      <c r="G6" s="6"/>
      <c r="H6" s="6"/>
      <c r="I6" s="6"/>
      <c r="J6" s="6"/>
      <c r="K6" s="6"/>
      <c r="L6" s="6"/>
    </row>
    <row r="7" customFormat="false" ht="15" hidden="false" customHeight="false" outlineLevel="0" collapsed="false">
      <c r="B7" s="29" t="s">
        <v>182</v>
      </c>
      <c r="C7" s="18"/>
      <c r="D7" s="18"/>
      <c r="E7" s="18"/>
      <c r="F7" s="18"/>
      <c r="G7" s="18"/>
      <c r="H7" s="18"/>
      <c r="I7" s="18"/>
      <c r="J7" s="18"/>
      <c r="K7" s="18"/>
      <c r="L7" s="18"/>
    </row>
    <row r="8" customFormat="false" ht="15" hidden="false" customHeight="false" outlineLevel="0" collapsed="false">
      <c r="B8" s="28" t="s">
        <v>51</v>
      </c>
      <c r="C8" s="30" t="n">
        <f aca="false">IF(C5=1,-LP_Called,0)</f>
        <v>-42.5</v>
      </c>
      <c r="D8" s="30" t="n">
        <f aca="false">IF(D5=1,-LP_Called,0)</f>
        <v>0</v>
      </c>
      <c r="E8" s="30" t="n">
        <f aca="false">IF(E5=1,-LP_Called,0)</f>
        <v>0</v>
      </c>
      <c r="F8" s="30" t="n">
        <f aca="false">IF(F5=1,-LP_Called,0)</f>
        <v>0</v>
      </c>
      <c r="G8" s="30" t="n">
        <f aca="false">IF(G5=1,-LP_Called,0)</f>
        <v>0</v>
      </c>
      <c r="H8" s="30" t="n">
        <f aca="false">IF(H5=1,-LP_Called,0)</f>
        <v>0</v>
      </c>
      <c r="I8" s="30" t="n">
        <f aca="false">IF(I5=1,-LP_Called,0)</f>
        <v>0</v>
      </c>
      <c r="J8" s="30" t="n">
        <f aca="false">IF(J5=1,-LP_Called,0)</f>
        <v>0</v>
      </c>
      <c r="K8" s="30" t="n">
        <f aca="false">IF(K5=1,-LP_Called,0)</f>
        <v>0</v>
      </c>
      <c r="L8" s="30" t="n">
        <f aca="false">IF(L5=1,-LP_Called,0)</f>
        <v>0</v>
      </c>
    </row>
    <row r="9" customFormat="false" ht="15" hidden="false" customHeight="false" outlineLevel="0" collapsed="false">
      <c r="B9" s="28" t="s">
        <v>183</v>
      </c>
      <c r="C9" s="30" t="n">
        <f aca="false">IF(C5=1,LP_Dist_Received,0)</f>
        <v>15</v>
      </c>
      <c r="D9" s="30" t="n">
        <f aca="false">IF(D5=1,LP_Dist_Received,0)</f>
        <v>0</v>
      </c>
      <c r="E9" s="30" t="n">
        <f aca="false">IF(E5=1,LP_Dist_Received,0)</f>
        <v>0</v>
      </c>
      <c r="F9" s="30" t="n">
        <f aca="false">IF(F5=1,LP_Dist_Received,0)</f>
        <v>0</v>
      </c>
      <c r="G9" s="30" t="n">
        <f aca="false">IF(G5=1,LP_Dist_Received,0)</f>
        <v>0</v>
      </c>
      <c r="H9" s="30" t="n">
        <f aca="false">IF(H5=1,LP_Dist_Received,0)</f>
        <v>0</v>
      </c>
      <c r="I9" s="30" t="n">
        <f aca="false">IF(I5=1,LP_Dist_Received,0)</f>
        <v>0</v>
      </c>
      <c r="J9" s="30" t="n">
        <f aca="false">IF(J5=1,LP_Dist_Received,0)</f>
        <v>0</v>
      </c>
      <c r="K9" s="30" t="n">
        <f aca="false">IF(K5=1,LP_Dist_Received,0)</f>
        <v>0</v>
      </c>
      <c r="L9" s="30" t="n">
        <f aca="false">IF(L5=1,LP_Dist_Received,0)</f>
        <v>0</v>
      </c>
    </row>
    <row r="10" customFormat="false" ht="15" hidden="false" customHeight="false" outlineLevel="0" collapsed="false">
      <c r="B10" s="28" t="s">
        <v>184</v>
      </c>
      <c r="C10" s="30" t="n">
        <f aca="false">IF(C5=1,Buyer_Price,0)</f>
        <v>39</v>
      </c>
      <c r="D10" s="30" t="n">
        <f aca="false">IF(D5=1,Buyer_Price,0)</f>
        <v>0</v>
      </c>
      <c r="E10" s="30" t="n">
        <f aca="false">IF(E5=1,Buyer_Price,0)</f>
        <v>0</v>
      </c>
      <c r="F10" s="30" t="n">
        <f aca="false">IF(F5=1,Buyer_Price,0)</f>
        <v>0</v>
      </c>
      <c r="G10" s="30" t="n">
        <f aca="false">IF(G5=1,Buyer_Price,0)</f>
        <v>0</v>
      </c>
      <c r="H10" s="30" t="n">
        <f aca="false">IF(H5=1,Buyer_Price,0)</f>
        <v>0</v>
      </c>
      <c r="I10" s="30" t="n">
        <f aca="false">IF(I5=1,Buyer_Price,0)</f>
        <v>0</v>
      </c>
      <c r="J10" s="30" t="n">
        <f aca="false">IF(J5=1,Buyer_Price,0)</f>
        <v>0</v>
      </c>
      <c r="K10" s="30" t="n">
        <f aca="false">IF(K5=1,Buyer_Price,0)</f>
        <v>0</v>
      </c>
      <c r="L10" s="30" t="n">
        <f aca="false">IF(L5=1,Buyer_Price,0)</f>
        <v>0</v>
      </c>
    </row>
    <row r="11" customFormat="false" ht="15" hidden="false" customHeight="false" outlineLevel="0" collapsed="false">
      <c r="B11" s="32" t="s">
        <v>162</v>
      </c>
      <c r="C11" s="33" t="n">
        <f aca="false">C8+C9+C10</f>
        <v>11.5</v>
      </c>
      <c r="D11" s="33" t="n">
        <f aca="false">D8+D9+D10</f>
        <v>0</v>
      </c>
      <c r="E11" s="33" t="n">
        <f aca="false">E8+E9+E10</f>
        <v>0</v>
      </c>
      <c r="F11" s="33" t="n">
        <f aca="false">F8+F9+F10</f>
        <v>0</v>
      </c>
      <c r="G11" s="33" t="n">
        <f aca="false">G8+G9+G10</f>
        <v>0</v>
      </c>
      <c r="H11" s="33" t="n">
        <f aca="false">H8+H9+H10</f>
        <v>0</v>
      </c>
      <c r="I11" s="33" t="n">
        <f aca="false">I8+I9+I10</f>
        <v>0</v>
      </c>
      <c r="J11" s="33" t="n">
        <f aca="false">J8+J9+J10</f>
        <v>0</v>
      </c>
      <c r="K11" s="33" t="n">
        <f aca="false">K8+K9+K10</f>
        <v>0</v>
      </c>
      <c r="L11" s="33" t="n">
        <f aca="false">L8+L9+L10</f>
        <v>0</v>
      </c>
    </row>
    <row r="12" customFormat="false" ht="15" hidden="false" customHeight="false" outlineLevel="0" collapsed="false">
      <c r="B12" s="28" t="s">
        <v>163</v>
      </c>
      <c r="C12" s="30" t="n">
        <f aca="false">C11</f>
        <v>11.5</v>
      </c>
      <c r="D12" s="30" t="n">
        <f aca="false">C12+D11</f>
        <v>11.5</v>
      </c>
      <c r="E12" s="30" t="n">
        <f aca="false">D12+E11</f>
        <v>11.5</v>
      </c>
      <c r="F12" s="30" t="n">
        <f aca="false">E12+F11</f>
        <v>11.5</v>
      </c>
      <c r="G12" s="30" t="n">
        <f aca="false">F12+G11</f>
        <v>11.5</v>
      </c>
      <c r="H12" s="30" t="n">
        <f aca="false">G12+H11</f>
        <v>11.5</v>
      </c>
      <c r="I12" s="30" t="n">
        <f aca="false">H12+I11</f>
        <v>11.5</v>
      </c>
      <c r="J12" s="30" t="n">
        <f aca="false">I12+J11</f>
        <v>11.5</v>
      </c>
      <c r="K12" s="30" t="n">
        <f aca="false">J12+K11</f>
        <v>11.5</v>
      </c>
      <c r="L12" s="30" t="n">
        <f aca="false">K12+L11</f>
        <v>11.5</v>
      </c>
    </row>
    <row r="13" customFormat="false" ht="15" hidden="false" customHeight="false" outlineLevel="0" collapsed="false">
      <c r="B13" s="6"/>
      <c r="C13" s="6"/>
      <c r="D13" s="6"/>
      <c r="E13" s="6"/>
      <c r="F13" s="6"/>
      <c r="G13" s="6"/>
      <c r="H13" s="6"/>
      <c r="I13" s="6"/>
      <c r="J13" s="6"/>
      <c r="K13" s="6"/>
      <c r="L13" s="6"/>
    </row>
    <row r="14" customFormat="false" ht="15" hidden="false" customHeight="false" outlineLevel="0" collapsed="false">
      <c r="B14" s="29" t="s">
        <v>185</v>
      </c>
      <c r="C14" s="18"/>
      <c r="D14" s="18"/>
      <c r="E14" s="18"/>
      <c r="F14" s="18"/>
      <c r="G14" s="18"/>
      <c r="H14" s="18"/>
      <c r="I14" s="18"/>
      <c r="J14" s="18"/>
      <c r="K14" s="18"/>
      <c r="L14" s="18"/>
    </row>
    <row r="15" customFormat="false" ht="15" hidden="false" customHeight="false" outlineLevel="0" collapsed="false">
      <c r="B15" s="28" t="s">
        <v>60</v>
      </c>
      <c r="C15" s="30" t="n">
        <f aca="false">LP_Called</f>
        <v>42.5</v>
      </c>
      <c r="D15" s="30" t="n">
        <f aca="false">LP_Called</f>
        <v>42.5</v>
      </c>
      <c r="E15" s="30" t="n">
        <f aca="false">LP_Called</f>
        <v>42.5</v>
      </c>
      <c r="F15" s="30" t="n">
        <f aca="false">LP_Called</f>
        <v>42.5</v>
      </c>
      <c r="G15" s="30" t="n">
        <f aca="false">LP_Called</f>
        <v>42.5</v>
      </c>
      <c r="H15" s="30" t="n">
        <f aca="false">LP_Called</f>
        <v>42.5</v>
      </c>
      <c r="I15" s="30" t="n">
        <f aca="false">LP_Called</f>
        <v>42.5</v>
      </c>
      <c r="J15" s="30" t="n">
        <f aca="false">LP_Called</f>
        <v>42.5</v>
      </c>
      <c r="K15" s="30" t="n">
        <f aca="false">LP_Called</f>
        <v>42.5</v>
      </c>
      <c r="L15" s="30" t="n">
        <f aca="false">LP_Called</f>
        <v>42.5</v>
      </c>
    </row>
    <row r="16" customFormat="false" ht="15" hidden="false" customHeight="false" outlineLevel="0" collapsed="false">
      <c r="B16" s="28" t="s">
        <v>186</v>
      </c>
      <c r="C16" s="30" t="n">
        <f aca="false">LP_Dist_Received+Buyer_Price</f>
        <v>54</v>
      </c>
      <c r="D16" s="30" t="n">
        <f aca="false">LP_Dist_Received+Buyer_Price</f>
        <v>54</v>
      </c>
      <c r="E16" s="30" t="n">
        <f aca="false">LP_Dist_Received+Buyer_Price</f>
        <v>54</v>
      </c>
      <c r="F16" s="30" t="n">
        <f aca="false">LP_Dist_Received+Buyer_Price</f>
        <v>54</v>
      </c>
      <c r="G16" s="30" t="n">
        <f aca="false">LP_Dist_Received+Buyer_Price</f>
        <v>54</v>
      </c>
      <c r="H16" s="30" t="n">
        <f aca="false">LP_Dist_Received+Buyer_Price</f>
        <v>54</v>
      </c>
      <c r="I16" s="30" t="n">
        <f aca="false">LP_Dist_Received+Buyer_Price</f>
        <v>54</v>
      </c>
      <c r="J16" s="30" t="n">
        <f aca="false">LP_Dist_Received+Buyer_Price</f>
        <v>54</v>
      </c>
      <c r="K16" s="30" t="n">
        <f aca="false">LP_Dist_Received+Buyer_Price</f>
        <v>54</v>
      </c>
      <c r="L16" s="30" t="n">
        <f aca="false">LP_Dist_Received+Buyer_Price</f>
        <v>54</v>
      </c>
    </row>
    <row r="17" customFormat="false" ht="15" hidden="false" customHeight="false" outlineLevel="0" collapsed="false">
      <c r="B17" s="28" t="s">
        <v>187</v>
      </c>
      <c r="C17" s="36" t="n">
        <f aca="false">IFERROR(C16/C15,0)</f>
        <v>1.27058823529412</v>
      </c>
      <c r="D17" s="36" t="n">
        <f aca="false">IFERROR(D16/D15,0)</f>
        <v>1.27058823529412</v>
      </c>
      <c r="E17" s="36" t="n">
        <f aca="false">IFERROR(E16/E15,0)</f>
        <v>1.27058823529412</v>
      </c>
      <c r="F17" s="36" t="n">
        <f aca="false">IFERROR(F16/F15,0)</f>
        <v>1.27058823529412</v>
      </c>
      <c r="G17" s="36" t="n">
        <f aca="false">IFERROR(G16/G15,0)</f>
        <v>1.27058823529412</v>
      </c>
      <c r="H17" s="36" t="n">
        <f aca="false">IFERROR(H16/H15,0)</f>
        <v>1.27058823529412</v>
      </c>
      <c r="I17" s="36" t="n">
        <f aca="false">IFERROR(I16/I15,0)</f>
        <v>1.27058823529412</v>
      </c>
      <c r="J17" s="36" t="n">
        <f aca="false">IFERROR(J16/J15,0)</f>
        <v>1.27058823529412</v>
      </c>
      <c r="K17" s="36" t="n">
        <f aca="false">IFERROR(K16/K15,0)</f>
        <v>1.27058823529412</v>
      </c>
      <c r="L17" s="36" t="n">
        <f aca="false">IFERROR(L16/L15,0)</f>
        <v>1.27058823529412</v>
      </c>
    </row>
    <row r="18" customFormat="false" ht="15" hidden="false" customHeight="false" outlineLevel="0" collapsed="false">
      <c r="B18" s="28" t="s">
        <v>188</v>
      </c>
      <c r="C18" s="31" t="n">
        <f aca="false">IFERROR((C16/C15)^(1/Fund_Age_At_Sale)-1,0)</f>
        <v>0.0490615410886663</v>
      </c>
      <c r="D18" s="31" t="n">
        <f aca="false">IFERROR((D16/D15)^(1/Fund_Age_At_Sale)-1,0)</f>
        <v>0.0490615410886663</v>
      </c>
      <c r="E18" s="31" t="n">
        <f aca="false">IFERROR((E16/E15)^(1/Fund_Age_At_Sale)-1,0)</f>
        <v>0.0490615410886663</v>
      </c>
      <c r="F18" s="31" t="n">
        <f aca="false">IFERROR((F16/F15)^(1/Fund_Age_At_Sale)-1,0)</f>
        <v>0.0490615410886663</v>
      </c>
      <c r="G18" s="31" t="n">
        <f aca="false">IFERROR((G16/G15)^(1/Fund_Age_At_Sale)-1,0)</f>
        <v>0.0490615410886663</v>
      </c>
      <c r="H18" s="31" t="n">
        <f aca="false">IFERROR((H16/H15)^(1/Fund_Age_At_Sale)-1,0)</f>
        <v>0.0490615410886663</v>
      </c>
      <c r="I18" s="31" t="n">
        <f aca="false">IFERROR((I16/I15)^(1/Fund_Age_At_Sale)-1,0)</f>
        <v>0.0490615410886663</v>
      </c>
      <c r="J18" s="31" t="n">
        <f aca="false">IFERROR((J16/J15)^(1/Fund_Age_At_Sale)-1,0)</f>
        <v>0.0490615410886663</v>
      </c>
      <c r="K18" s="31" t="n">
        <f aca="false">IFERROR((K16/K15)^(1/Fund_Age_At_Sale)-1,0)</f>
        <v>0.0490615410886663</v>
      </c>
      <c r="L18" s="31" t="n">
        <f aca="false">IFERROR((L16/L15)^(1/Fund_Age_At_Sale)-1,0)</f>
        <v>0.0490615410886663</v>
      </c>
    </row>
    <row r="19" customFormat="false" ht="15" hidden="false" customHeight="false" outlineLevel="0" collapsed="false">
      <c r="B19" s="6"/>
      <c r="C19" s="6"/>
      <c r="D19" s="6"/>
      <c r="E19" s="6"/>
      <c r="F19" s="6"/>
      <c r="G19" s="6"/>
      <c r="H19" s="6"/>
      <c r="I19" s="6"/>
      <c r="J19" s="6"/>
      <c r="K19" s="6"/>
      <c r="L19" s="6"/>
    </row>
    <row r="20" customFormat="false" ht="15" hidden="false" customHeight="false" outlineLevel="0" collapsed="false">
      <c r="B20" s="29" t="s">
        <v>189</v>
      </c>
      <c r="C20" s="18"/>
      <c r="D20" s="18"/>
      <c r="E20" s="18"/>
      <c r="F20" s="18"/>
      <c r="G20" s="18"/>
      <c r="H20" s="18"/>
      <c r="I20" s="18"/>
      <c r="J20" s="18"/>
      <c r="K20" s="18"/>
      <c r="L20" s="18"/>
    </row>
    <row r="21" customFormat="false" ht="15" hidden="false" customHeight="false" outlineLevel="0" collapsed="false">
      <c r="B21" s="28" t="s">
        <v>190</v>
      </c>
      <c r="C21" s="30" t="n">
        <f aca="false">Fund_Economics!C26*(LP_Commitment/Fund_Size)</f>
        <v>4.5885</v>
      </c>
      <c r="D21" s="30" t="n">
        <f aca="false">Fund_Economics!D26*(LP_Commitment/Fund_Size)</f>
        <v>6.4176</v>
      </c>
      <c r="E21" s="30" t="n">
        <f aca="false">Fund_Economics!E26*(LP_Commitment/Fund_Size)</f>
        <v>9.357225</v>
      </c>
      <c r="F21" s="30" t="n">
        <f aca="false">Fund_Economics!F26*(LP_Commitment/Fund_Size)</f>
        <v>5.359335</v>
      </c>
      <c r="G21" s="30" t="n">
        <f aca="false">Fund_Economics!G26*(LP_Commitment/Fund_Size)</f>
        <v>2.960601</v>
      </c>
      <c r="H21" s="30" t="n">
        <f aca="false">Fund_Economics!H26*(LP_Commitment/Fund_Size)</f>
        <v>1.4014239</v>
      </c>
      <c r="I21" s="30" t="n">
        <f aca="false">Fund_Economics!I26*(LP_Commitment/Fund_Size)</f>
        <v>17.7128151</v>
      </c>
      <c r="J21" s="30" t="n">
        <f aca="false">Fund_Economics!J26*(LP_Commitment/Fund_Size)</f>
        <v>0</v>
      </c>
      <c r="K21" s="30" t="n">
        <f aca="false">Fund_Economics!K26*(LP_Commitment/Fund_Size)</f>
        <v>0</v>
      </c>
      <c r="L21" s="30" t="n">
        <f aca="false">Fund_Economics!L26*(LP_Commitment/Fund_Size)</f>
        <v>0</v>
      </c>
    </row>
    <row r="22" customFormat="false" ht="15" hidden="false" customHeight="false" outlineLevel="0" collapsed="false">
      <c r="B22" s="28" t="s">
        <v>191</v>
      </c>
      <c r="C22" s="30" t="n">
        <f aca="false">LP_Dist_Received+Fund_Economics!C27*(LP_Commitment/Fund_Size)-MIN(LP_Uncalled,SUM(Portfolio_Runoff!$C$23:C23)*(LP_Commitment/Fund_Size))</f>
        <v>18.5170714285714</v>
      </c>
      <c r="D22" s="30" t="n">
        <f aca="false">LP_Dist_Received+Fund_Economics!D27*(LP_Commitment/Fund_Size)-MIN(LP_Uncalled,SUM(Portfolio_Runoff!$C$23:D23)*(LP_Commitment/Fund_Size))</f>
        <v>23.8632428571429</v>
      </c>
      <c r="E22" s="30" t="n">
        <f aca="false">LP_Dist_Received+Fund_Economics!E27*(LP_Commitment/Fund_Size)-MIN(LP_Uncalled,SUM(Portfolio_Runoff!$C$23:E23)*(LP_Commitment/Fund_Size))</f>
        <v>32.1490392857143</v>
      </c>
      <c r="F22" s="30" t="n">
        <f aca="false">LP_Dist_Received+Fund_Economics!F27*(LP_Commitment/Fund_Size)-MIN(LP_Uncalled,SUM(Portfolio_Runoff!$C$23:F23)*(LP_Commitment/Fund_Size))</f>
        <v>36.4369457142857</v>
      </c>
      <c r="G22" s="30" t="n">
        <f aca="false">LP_Dist_Received+Fund_Economics!G27*(LP_Commitment/Fund_Size)-MIN(LP_Uncalled,SUM(Portfolio_Runoff!$C$23:G23)*(LP_Commitment/Fund_Size))</f>
        <v>38.3261181428571</v>
      </c>
      <c r="H22" s="30" t="n">
        <f aca="false">LP_Dist_Received+Fund_Economics!H27*(LP_Commitment/Fund_Size)-MIN(LP_Uncalled,SUM(Portfolio_Runoff!$C$23:H23)*(LP_Commitment/Fund_Size))</f>
        <v>38.6561134714286</v>
      </c>
      <c r="I22" s="30" t="n">
        <f aca="false">LP_Dist_Received+Fund_Economics!I27*(LP_Commitment/Fund_Size)-MIN(LP_Uncalled,SUM(Portfolio_Runoff!$C$23:I23)*(LP_Commitment/Fund_Size))</f>
        <v>55.2975</v>
      </c>
      <c r="J22" s="30" t="n">
        <f aca="false">LP_Dist_Received+Fund_Economics!J27*(LP_Commitment/Fund_Size)-MIN(LP_Uncalled,SUM(Portfolio_Runoff!$C$23:J23)*(LP_Commitment/Fund_Size))</f>
        <v>55.2975</v>
      </c>
      <c r="K22" s="30" t="n">
        <f aca="false">LP_Dist_Received+Fund_Economics!K27*(LP_Commitment/Fund_Size)-MIN(LP_Uncalled,SUM(Portfolio_Runoff!$C$23:K23)*(LP_Commitment/Fund_Size))</f>
        <v>55.2975</v>
      </c>
      <c r="L22" s="30" t="n">
        <f aca="false">LP_Dist_Received+Fund_Economics!L27*(LP_Commitment/Fund_Size)-MIN(LP_Uncalled,SUM(Portfolio_Runoff!$C$23:L23)*(LP_Commitment/Fund_Size))</f>
        <v>55.2975</v>
      </c>
    </row>
    <row r="23" customFormat="false" ht="15" hidden="false" customHeight="false" outlineLevel="0" collapsed="false">
      <c r="B23" s="28" t="s">
        <v>192</v>
      </c>
      <c r="C23" s="36" t="n">
        <f aca="false">IFERROR(C22/LP_Called,0)</f>
        <v>0.435695798319328</v>
      </c>
      <c r="D23" s="36" t="n">
        <f aca="false">IFERROR(D22/LP_Called,0)</f>
        <v>0.561488067226891</v>
      </c>
      <c r="E23" s="36" t="n">
        <f aca="false">IFERROR(E22/LP_Called,0)</f>
        <v>0.756447983193277</v>
      </c>
      <c r="F23" s="36" t="n">
        <f aca="false">IFERROR(F22/LP_Called,0)</f>
        <v>0.857339899159664</v>
      </c>
      <c r="G23" s="36" t="n">
        <f aca="false">IFERROR(G22/LP_Called,0)</f>
        <v>0.90179101512605</v>
      </c>
      <c r="H23" s="36" t="n">
        <f aca="false">IFERROR(H22/LP_Called,0)</f>
        <v>0.909555611092437</v>
      </c>
      <c r="I23" s="36" t="n">
        <f aca="false">IFERROR(I22/LP_Called,0)</f>
        <v>1.30111764705882</v>
      </c>
      <c r="J23" s="36" t="n">
        <f aca="false">IFERROR(J22/LP_Called,0)</f>
        <v>1.30111764705882</v>
      </c>
      <c r="K23" s="36" t="n">
        <f aca="false">IFERROR(K22/LP_Called,0)</f>
        <v>1.30111764705882</v>
      </c>
      <c r="L23" s="36" t="n">
        <f aca="false">IFERROR(L22/LP_Called,0)</f>
        <v>1.30111764705882</v>
      </c>
    </row>
    <row r="24" customFormat="false" ht="15" hidden="false" customHeight="false" outlineLevel="0" collapsed="false">
      <c r="B24" s="28" t="s">
        <v>193</v>
      </c>
      <c r="C24" s="31" t="n">
        <f aca="false">IFERROR((C22/LP_Called)^(1/(Fund_Age_At_Sale+C5))-1,0)</f>
        <v>-0.129309320871619</v>
      </c>
      <c r="D24" s="31" t="n">
        <f aca="false">IFERROR((D22/LP_Called)^(1/(Fund_Age_At_Sale+D5))-1,0)</f>
        <v>-0.0791444616685276</v>
      </c>
      <c r="E24" s="31" t="n">
        <f aca="false">IFERROR((E22/LP_Called)^(1/(Fund_Age_At_Sale+E5))-1,0)</f>
        <v>-0.0342885433340971</v>
      </c>
      <c r="F24" s="31" t="n">
        <f aca="false">IFERROR((F22/LP_Called)^(1/(Fund_Age_At_Sale+F5))-1,0)</f>
        <v>-0.0169568993522479</v>
      </c>
      <c r="G24" s="31" t="n">
        <f aca="false">IFERROR((G22/LP_Called)^(1/(Fund_Age_At_Sale+G5))-1,0)</f>
        <v>-0.0102840019161796</v>
      </c>
      <c r="H24" s="31" t="n">
        <f aca="false">IFERROR((H22/LP_Called)^(1/(Fund_Age_At_Sale+H5))-1,0)</f>
        <v>-0.00858107407035358</v>
      </c>
      <c r="I24" s="31" t="n">
        <f aca="false">IFERROR((I22/LP_Called)^(1/(Fund_Age_At_Sale+I5))-1,0)</f>
        <v>0.0221776494490749</v>
      </c>
      <c r="J24" s="31" t="n">
        <f aca="false">IFERROR((J22/LP_Called)^(1/(Fund_Age_At_Sale+J5))-1,0)</f>
        <v>0.0204543517903524</v>
      </c>
      <c r="K24" s="31" t="n">
        <f aca="false">IFERROR((K22/LP_Called)^(1/(Fund_Age_At_Sale+K5))-1,0)</f>
        <v>0.0189795520960168</v>
      </c>
      <c r="L24" s="31" t="n">
        <f aca="false">IFERROR((L22/LP_Called)^(1/(Fund_Age_At_Sale+L5))-1,0)</f>
        <v>0.0177031165674024</v>
      </c>
    </row>
    <row r="25" customFormat="false" ht="15" hidden="false" customHeight="false" outlineLevel="0" collapsed="false">
      <c r="B25" s="6"/>
      <c r="C25" s="6"/>
      <c r="D25" s="6"/>
      <c r="E25" s="6"/>
      <c r="F25" s="6"/>
      <c r="G25" s="6"/>
      <c r="H25" s="6"/>
      <c r="I25" s="6"/>
      <c r="J25" s="6"/>
      <c r="K25" s="6"/>
      <c r="L25" s="6"/>
    </row>
    <row r="26" customFormat="false" ht="15" hidden="false" customHeight="false" outlineLevel="0" collapsed="false">
      <c r="B26" s="29" t="s">
        <v>194</v>
      </c>
      <c r="C26" s="18"/>
      <c r="D26" s="18"/>
      <c r="E26" s="18"/>
      <c r="F26" s="18"/>
      <c r="G26" s="18"/>
      <c r="H26" s="18"/>
      <c r="I26" s="18"/>
      <c r="J26" s="18"/>
      <c r="K26" s="18"/>
      <c r="L26" s="18"/>
    </row>
    <row r="27" customFormat="false" ht="15" hidden="false" customHeight="false" outlineLevel="0" collapsed="false">
      <c r="B27" s="28" t="s">
        <v>195</v>
      </c>
      <c r="C27" s="36" t="n">
        <f aca="false">C17-C23</f>
        <v>0.83489243697479</v>
      </c>
      <c r="D27" s="36" t="n">
        <f aca="false">D17-D23</f>
        <v>0.709100168067227</v>
      </c>
      <c r="E27" s="36" t="n">
        <f aca="false">E17-E23</f>
        <v>0.51414025210084</v>
      </c>
      <c r="F27" s="36" t="n">
        <f aca="false">F17-F23</f>
        <v>0.413248336134454</v>
      </c>
      <c r="G27" s="36" t="n">
        <f aca="false">G17-G23</f>
        <v>0.368797220168067</v>
      </c>
      <c r="H27" s="36" t="n">
        <f aca="false">H17-H23</f>
        <v>0.361032624201681</v>
      </c>
      <c r="I27" s="36" t="n">
        <f aca="false">I17-I23</f>
        <v>-0.0305294117647061</v>
      </c>
      <c r="J27" s="36" t="n">
        <f aca="false">J17-J23</f>
        <v>-0.0305294117647061</v>
      </c>
      <c r="K27" s="36" t="n">
        <f aca="false">K17-K23</f>
        <v>-0.0305294117647061</v>
      </c>
      <c r="L27" s="36" t="n">
        <f aca="false">L17-L23</f>
        <v>-0.0305294117647061</v>
      </c>
    </row>
    <row r="28" customFormat="false" ht="15" hidden="false" customHeight="false" outlineLevel="0" collapsed="false">
      <c r="B28" s="28" t="s">
        <v>196</v>
      </c>
      <c r="C28" s="31" t="n">
        <f aca="false">C18-C24</f>
        <v>0.178370861960285</v>
      </c>
      <c r="D28" s="31" t="n">
        <f aca="false">D18-D24</f>
        <v>0.128206002757194</v>
      </c>
      <c r="E28" s="31" t="n">
        <f aca="false">E18-E24</f>
        <v>0.0833500844227635</v>
      </c>
      <c r="F28" s="31" t="n">
        <f aca="false">F18-F24</f>
        <v>0.0660184404409142</v>
      </c>
      <c r="G28" s="31" t="n">
        <f aca="false">G18-G24</f>
        <v>0.059345543004846</v>
      </c>
      <c r="H28" s="31" t="n">
        <f aca="false">H18-H24</f>
        <v>0.0576426151590199</v>
      </c>
      <c r="I28" s="31" t="n">
        <f aca="false">I18-I24</f>
        <v>0.0268838916395915</v>
      </c>
      <c r="J28" s="31" t="n">
        <f aca="false">J18-J24</f>
        <v>0.028607189298314</v>
      </c>
      <c r="K28" s="31" t="n">
        <f aca="false">K18-K24</f>
        <v>0.0300819889926496</v>
      </c>
      <c r="L28" s="31" t="n">
        <f aca="false">L18-L24</f>
        <v>0.0313584245212639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6"/>
    <col collapsed="false" customWidth="true" hidden="false" outlineLevel="0" max="4" min="4" style="0" width="44"/>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23</v>
      </c>
      <c r="C2" s="2"/>
      <c r="D2" s="2"/>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24</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5" t="s">
        <v>197</v>
      </c>
      <c r="C4" s="16" t="s">
        <v>198</v>
      </c>
      <c r="D4" s="15" t="s">
        <v>4</v>
      </c>
    </row>
    <row r="5" customFormat="false" ht="15" hidden="false" customHeight="false" outlineLevel="0" collapsed="false">
      <c r="B5" s="6"/>
      <c r="C5" s="6"/>
      <c r="D5" s="6"/>
    </row>
    <row r="6" customFormat="false" ht="15" hidden="false" customHeight="false" outlineLevel="0" collapsed="false">
      <c r="B6" s="8" t="s">
        <v>199</v>
      </c>
      <c r="C6" s="38" t="str">
        <f aca="false">IF(ABS(Exit_Ramp_Y1+Exit_Ramp_Y2+Exit_Ramp_Y3+Exit_Ramp_Y4+Exit_Ramp_Y5+Exit_Ramp_Y6+Exit_Ramp_Y7-1)&lt;0.001,"PASS","FAIL")</f>
        <v>PASS</v>
      </c>
      <c r="D6" s="9" t="s">
        <v>200</v>
      </c>
    </row>
    <row r="7" customFormat="false" ht="15" hidden="false" customHeight="false" outlineLevel="0" collapsed="false">
      <c r="B7" s="8" t="s">
        <v>201</v>
      </c>
      <c r="C7" s="38" t="str">
        <f aca="false">IF(Portfolio_Runoff!L24&lt;0.1,"PASS","FAIL")</f>
        <v>PASS</v>
      </c>
      <c r="D7" s="9" t="s">
        <v>202</v>
      </c>
    </row>
    <row r="8" customFormat="false" ht="15" hidden="false" customHeight="false" outlineLevel="0" collapsed="false">
      <c r="B8" s="8" t="s">
        <v>203</v>
      </c>
      <c r="C8" s="38" t="str">
        <f aca="false">IF(MIN(Fund_Economics!C26:L26)&gt;=0,"PASS","FAIL")</f>
        <v>PASS</v>
      </c>
      <c r="D8" s="9" t="s">
        <v>204</v>
      </c>
    </row>
    <row r="9" customFormat="false" ht="15" hidden="false" customHeight="false" outlineLevel="0" collapsed="false">
      <c r="B9" s="8" t="s">
        <v>205</v>
      </c>
      <c r="C9" s="38" t="str">
        <f aca="false">IF(Buyer_Returns!L13&gt;0,"PASS","FAIL")</f>
        <v>PASS</v>
      </c>
      <c r="D9" s="9" t="s">
        <v>206</v>
      </c>
    </row>
    <row r="10" customFormat="false" ht="15" hidden="false" customHeight="false" outlineLevel="0" collapsed="false">
      <c r="B10" s="8" t="s">
        <v>207</v>
      </c>
      <c r="C10" s="38" t="str">
        <f aca="false">IF(MIN(Portfolio_Runoff!C12:L12)&gt;=0,"PASS","FAIL")</f>
        <v>PASS</v>
      </c>
      <c r="D10" s="9" t="s">
        <v>208</v>
      </c>
    </row>
    <row r="11" customFormat="false" ht="15" hidden="false" customHeight="false" outlineLevel="0" collapsed="false">
      <c r="B11" s="8" t="s">
        <v>209</v>
      </c>
      <c r="C11" s="38" t="str">
        <f aca="false">IF(Buyer_Returns!L18&gt;1,"PASS","FAIL")</f>
        <v>PASS</v>
      </c>
      <c r="D11" s="9" t="s">
        <v>210</v>
      </c>
    </row>
    <row r="12" customFormat="false" ht="15" hidden="false" customHeight="false" outlineLevel="0" collapsed="false">
      <c r="B12" s="8" t="s">
        <v>211</v>
      </c>
      <c r="C12" s="38" t="str">
        <f aca="false">IF(AND(Buyer_Price_Pct&gt;=0.6,Buyer_Price_Pct&lt;=1),"PASS","FAIL")</f>
        <v>PASS</v>
      </c>
      <c r="D12" s="9" t="s">
        <v>212</v>
      </c>
    </row>
    <row r="13" customFormat="false" ht="15" hidden="false" customHeight="false" outlineLevel="0" collapsed="false">
      <c r="B13" s="8" t="s">
        <v>213</v>
      </c>
      <c r="C13" s="38" t="str">
        <f aca="false">IF(ABS(Fund_Life-Fund_Age_At_Sale-Remaining_Life)&lt;0.1,"PASS","FAIL")</f>
        <v>PASS</v>
      </c>
      <c r="D13" s="9" t="s">
        <v>214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9" t="s">
        <v>215</v>
      </c>
    </row>
    <row r="3" customFormat="false" ht="3.75" hidden="false" customHeight="true" outlineLevel="0" collapsed="false">
      <c r="B3" s="40"/>
    </row>
    <row r="5" customFormat="false" ht="19.5" hidden="false" customHeight="true" outlineLevel="0" collapsed="false">
      <c r="B5" s="41" t="s">
        <v>216</v>
      </c>
    </row>
    <row r="6" customFormat="false" ht="48" hidden="false" customHeight="true" outlineLevel="0" collapsed="false">
      <c r="B6" s="42" t="s">
        <v>217</v>
      </c>
    </row>
    <row r="8" customFormat="false" ht="19.5" hidden="false" customHeight="true" outlineLevel="0" collapsed="false">
      <c r="B8" s="41" t="s">
        <v>218</v>
      </c>
    </row>
    <row r="9" customFormat="false" ht="61.5" hidden="false" customHeight="true" outlineLevel="0" collapsed="false">
      <c r="B9" s="42" t="s">
        <v>219</v>
      </c>
    </row>
    <row r="11" customFormat="false" ht="19.5" hidden="false" customHeight="true" outlineLevel="0" collapsed="false">
      <c r="B11" s="41" t="s">
        <v>220</v>
      </c>
    </row>
    <row r="12" customFormat="false" ht="75.75" hidden="false" customHeight="true" outlineLevel="0" collapsed="false">
      <c r="B12" s="42" t="s">
        <v>221</v>
      </c>
    </row>
    <row r="14" customFormat="false" ht="19.5" hidden="false" customHeight="true" outlineLevel="0" collapsed="false">
      <c r="B14" s="41" t="s">
        <v>222</v>
      </c>
    </row>
    <row r="15" customFormat="false" ht="61.5" hidden="false" customHeight="true" outlineLevel="0" collapsed="false">
      <c r="B15" s="42" t="s">
        <v>223</v>
      </c>
    </row>
    <row r="17" customFormat="false" ht="19.5" hidden="false" customHeight="true" outlineLevel="0" collapsed="false">
      <c r="B17" s="41" t="s">
        <v>224</v>
      </c>
    </row>
    <row r="18" customFormat="false" ht="33.75" hidden="false" customHeight="true" outlineLevel="0" collapsed="false">
      <c r="B18" s="42" t="s">
        <v>225</v>
      </c>
    </row>
    <row r="20" customFormat="false" ht="19.5" hidden="false" customHeight="true" outlineLevel="0" collapsed="false">
      <c r="B20" s="41" t="s">
        <v>226</v>
      </c>
    </row>
    <row r="21" customFormat="false" ht="33.75" hidden="false" customHeight="true" outlineLevel="0" collapsed="false">
      <c r="B21" s="42" t="s">
        <v>227</v>
      </c>
    </row>
    <row r="23" customFormat="false" ht="21.75" hidden="false" customHeight="true" outlineLevel="0" collapsed="false">
      <c r="B23" s="43" t="s">
        <v>228</v>
      </c>
    </row>
    <row r="25" customFormat="false" ht="18" hidden="false" customHeight="true" outlineLevel="0" collapsed="false">
      <c r="B25" s="44" t="s">
        <v>229</v>
      </c>
    </row>
    <row r="26" customFormat="false" ht="201.75" hidden="false" customHeight="true" outlineLevel="0" collapsed="false">
      <c r="B26" s="45" t="s">
        <v>230</v>
      </c>
    </row>
    <row r="28" customFormat="false" ht="18" hidden="false" customHeight="true" outlineLevel="0" collapsed="false">
      <c r="B28" s="46" t="s">
        <v>231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2026-05-15T18:53:48Z</dcterms:created>
  <dc:creator>openpyxl</dc:creator>
  <dc:description/>
  <dc:language>en-GB</dc:language>
  <cp:lastModifiedBy/>
  <dcterms:modified xsi:type="dcterms:W3CDTF">2026-05-15T18:53:49Z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