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Development_Budget" sheetId="4" state="visible" r:id="rId6"/>
    <sheet name="Operating_CF" sheetId="5" state="visible" r:id="rId7"/>
    <sheet name="Debt_Schedule" sheetId="6" state="visible" r:id="rId8"/>
    <sheet name="Returns" sheetId="7" state="visible" r:id="rId9"/>
    <sheet name="Checks" sheetId="8" state="visible" r:id="rId10"/>
  </sheets>
  <definedNames>
    <definedName function="false" hidden="false" name="Amort_Period" vbProcedure="false">Assumptions!$C$38</definedName>
    <definedName function="false" hidden="false" name="Ancil_Pct" vbProcedure="false">Assumptions!$C$18</definedName>
    <definedName function="false" hidden="false" name="Avg_Unit_Size" vbProcedure="false">Assumptions!$C$8</definedName>
    <definedName function="false" hidden="false" name="Const_Months" vbProcedure="false">Assumptions!$C$32</definedName>
    <definedName function="false" hidden="false" name="Contingency_Pct" vbProcedure="false">Assumptions!$C$30</definedName>
    <definedName function="false" hidden="false" name="Cost_of_Sale" vbProcedure="false">Assumptions!$C$43</definedName>
    <definedName function="false" hidden="false" name="DB_Equity" vbProcedure="false">Development_Budget!$C$17</definedName>
    <definedName function="false" hidden="false" name="DB_Loan_Amount" vbProcedure="false">Development_Budget!$C$16</definedName>
    <definedName function="false" hidden="false" name="DB_Total_Cost" vbProcedure="false">Development_Budget!$C$13</definedName>
    <definedName function="false" hidden="false" name="Dev_Fee_Pct" vbProcedure="false">Assumptions!$C$31</definedName>
    <definedName function="false" hidden="false" name="DS_Closing_Y7" vbProcedure="false">Debt_Schedule!$I$10</definedName>
    <definedName function="false" hidden="false" name="DS_TotalDS_Y1" vbProcedure="false">Debt_Schedule!$C$9</definedName>
    <definedName function="false" hidden="false" name="DS_TotalDS_Y2" vbProcedure="false">Debt_Schedule!$D$9</definedName>
    <definedName function="false" hidden="false" name="DS_TotalDS_Y3" vbProcedure="false">Debt_Schedule!$E$9</definedName>
    <definedName function="false" hidden="false" name="DS_TotalDS_Y4" vbProcedure="false">Debt_Schedule!$F$9</definedName>
    <definedName function="false" hidden="false" name="DS_TotalDS_Y5" vbProcedure="false">Debt_Schedule!$G$9</definedName>
    <definedName function="false" hidden="false" name="DS_TotalDS_Y6" vbProcedure="false">Debt_Schedule!$H$9</definedName>
    <definedName function="false" hidden="false" name="DS_TotalDS_Y7" vbProcedure="false">Debt_Schedule!$I$9</definedName>
    <definedName function="false" hidden="false" name="Exit_Cap_Rate" vbProcedure="false">Assumptions!$C$42</definedName>
    <definedName function="false" hidden="false" name="Hard_Cost_PSF" vbProcedure="false">Assumptions!$C$28</definedName>
    <definedName function="false" hidden="false" name="Ins_Penetration" vbProcedure="false">Assumptions!$C$16</definedName>
    <definedName function="false" hidden="false" name="Ins_Profit_PM" vbProcedure="false">Assumptions!$C$17</definedName>
    <definedName function="false" hidden="false" name="Interest_Rate" vbProcedure="false">Assumptions!$C$37</definedName>
    <definedName function="false" hidden="false" name="IO_Period" vbProcedure="false">Assumptions!$C$39</definedName>
    <definedName function="false" hidden="false" name="Land_Cost" vbProcedure="false">Assumptions!$C$27</definedName>
    <definedName function="false" hidden="false" name="Leaseup_Velocity" vbProcedure="false">Assumptions!$C$12</definedName>
    <definedName function="false" hidden="false" name="LTC" vbProcedure="false">Assumptions!$C$36</definedName>
    <definedName function="false" hidden="false" name="Maint_Capex_PSF" vbProcedure="false">Assumptions!$C$24</definedName>
    <definedName function="false" hidden="false" name="Market_Rent_PSF" vbProcedure="false">Assumptions!$C$9</definedName>
    <definedName function="false" hidden="false" name="Mgmt_Fee_Pct" vbProcedure="false">Assumptions!$C$22</definedName>
    <definedName function="false" hidden="false" name="NRSF" vbProcedure="false">Assumptions!$C$7</definedName>
    <definedName function="false" hidden="false" name="OC_NOI_Y1" vbProcedure="false">Operating_CF!$C$17</definedName>
    <definedName function="false" hidden="false" name="OC_NOI_Y2" vbProcedure="false">Operating_CF!$D$17</definedName>
    <definedName function="false" hidden="false" name="OC_NOI_Y3" vbProcedure="false">Operating_CF!$E$17</definedName>
    <definedName function="false" hidden="false" name="OC_NOI_Y4" vbProcedure="false">Operating_CF!$F$17</definedName>
    <definedName function="false" hidden="false" name="OC_NOI_Y5" vbProcedure="false">Operating_CF!$G$17</definedName>
    <definedName function="false" hidden="false" name="OC_NOI_Y6" vbProcedure="false">Operating_CF!$H$17</definedName>
    <definedName function="false" hidden="false" name="OC_NOI_Y7" vbProcedure="false">Operating_CF!$I$17</definedName>
    <definedName function="false" hidden="false" name="OC_Stab_NOI" vbProcedure="false">Operating_CF!$E$17</definedName>
    <definedName function="false" hidden="false" name="OC_UFCF_Y1" vbProcedure="false">Operating_CF!$C$22</definedName>
    <definedName function="false" hidden="false" name="OC_UFCF_Y2" vbProcedure="false">Operating_CF!$D$22</definedName>
    <definedName function="false" hidden="false" name="OC_UFCF_Y3" vbProcedure="false">Operating_CF!$E$22</definedName>
    <definedName function="false" hidden="false" name="OC_UFCF_Y4" vbProcedure="false">Operating_CF!$F$22</definedName>
    <definedName function="false" hidden="false" name="OC_UFCF_Y5" vbProcedure="false">Operating_CF!$G$22</definedName>
    <definedName function="false" hidden="false" name="OC_UFCF_Y6" vbProcedure="false">Operating_CF!$H$22</definedName>
    <definedName function="false" hidden="false" name="OC_UFCF_Y7" vbProcedure="false">Operating_CF!$I$22</definedName>
    <definedName function="false" hidden="false" name="Opex_Growth" vbProcedure="false">Assumptions!$C$23</definedName>
    <definedName function="false" hidden="false" name="Opex_PSF" vbProcedure="false">Assumptions!$C$21</definedName>
    <definedName function="false" hidden="false" name="Op_Shortfall_Reserve" vbProcedure="false">Assumptions!$C$33</definedName>
    <definedName function="false" hidden="false" name="Rent_Growth" vbProcedure="false">Assumptions!$C$10</definedName>
    <definedName function="false" hidden="false" name="RT_Equity_Mult" vbProcedure="false">Returns!$C$18</definedName>
    <definedName function="false" hidden="false" name="RT_Lev_IRR" vbProcedure="false">Returns!$C$17</definedName>
    <definedName function="false" hidden="false" name="RT_Unlev_IRR" vbProcedure="false">Returns!$C$16</definedName>
    <definedName function="false" hidden="false" name="RT_YOC" vbProcedure="false">Returns!$C$19</definedName>
    <definedName function="false" hidden="false" name="Soft_Cost_Pct" vbProcedure="false">Assumptions!$C$29</definedName>
    <definedName function="false" hidden="false" name="Stab_Occupancy" vbProcedure="false">Assumptions!$C$11</definedName>
    <definedName function="false" hidden="false" name="Vac_Conc_Pct" vbProcedure="false">Assumptions!$C$13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<sst xmlns="http://schemas.openxmlformats.org/spreadsheetml/2006/main" count="270" uniqueCount="224">
  <si>
    <t xml:space="preserve">Self-Storage Development &amp; Operations Model</t>
  </si>
  <si>
    <t xml:space="preserve">FINAMODEL.com</t>
  </si>
  <si>
    <t xml:space="preserve">7-Year Project Finance Model | Development-to-Stabilise</t>
  </si>
  <si>
    <t xml:space="preserve">Tab</t>
  </si>
  <si>
    <t xml:space="preserve">Sheet</t>
  </si>
  <si>
    <t xml:space="preserve">Description</t>
  </si>
  <si>
    <t xml:space="preserve">Assumptions</t>
  </si>
  <si>
    <t xml:space="preserve">All input assumptions</t>
  </si>
  <si>
    <t xml:space="preserve">Dev Budget</t>
  </si>
  <si>
    <t xml:space="preserve">Development_Budget</t>
  </si>
  <si>
    <t xml:space="preserve">Development cost build-up and S&amp;U</t>
  </si>
  <si>
    <t xml:space="preserve">Ops CF</t>
  </si>
  <si>
    <t xml:space="preserve">Operating_CF</t>
  </si>
  <si>
    <t xml:space="preserve">Annual operating cash flows, Years 1–7</t>
  </si>
  <si>
    <t xml:space="preserve">Debt</t>
  </si>
  <si>
    <t xml:space="preserve">Debt_Schedule</t>
  </si>
  <si>
    <t xml:space="preserve">Loan roll-forward, DSCR, debt yield</t>
  </si>
  <si>
    <t xml:space="preserve">Returns</t>
  </si>
  <si>
    <t xml:space="preserve">Exit valuation and return metrics</t>
  </si>
  <si>
    <t xml:space="preserve">Checks</t>
  </si>
  <si>
    <t xml:space="preserve">Structural validation</t>
  </si>
  <si>
    <t xml:space="preserve">About this model</t>
  </si>
  <si>
    <t xml:space="preserve">Track self-storage operations month-by-month so you spot rental rate pressure, occupancy drift, and expense creep before they derail budgets. The model captures monthly occupancy %, average monthly rent per occupied unit, move-in/move-out volume, and year-to-date occupancy change. Operating expenses tracked vs. budget by category (staff, utilities, insurance, maintenance). Ancillary revenue by type (late fees, insurance, auction proceeds) visible separately. Outputs include YTD performance summary, variance-to-plan reports, and KPI trending.
Merchanage occupancy and pricing health: the dashboard shows occupancy % (with traffic light on 85% target), average rent trending, and rent growth vs inflation assumptions. Expense variance shows which categories are over/under budgetâutilities in a hot month, staffing in a busy seasonâso you can adjust. Ancillary revenue visibility reveals whether auctions and tenant insurance are performing to plan. Monthly granularity catches churn spikes and competitive rate pressure in real time, not in quarterly reviews.
Essential for self-storage operators, regional managers, and facility controllers who need early warning of performance drift. Works with multi-property portfolio aggregation and lender reporting.</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</si>
  <si>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</si>
  <si>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</si>
  <si>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</si>
  <si>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</si>
  <si>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</si>
  <si>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</si>
  <si>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</si>
  <si>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</si>
  <si>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</si>
  <si>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</si>
  <si>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</si>
  <si>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</si>
  <si>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</si>
  <si>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</si>
  <si>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</si>
  <si>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</si>
  <si>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</si>
  <si>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</si>
  <si>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</si>
  <si>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</si>
  <si>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</si>
  <si>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PROPERTY &amp; SIZE</t>
  </si>
  <si>
    <t xml:space="preserve">Parameter</t>
  </si>
  <si>
    <t xml:space="preserve">Value</t>
  </si>
  <si>
    <t xml:space="preserve">Unit</t>
  </si>
  <si>
    <t xml:space="preserve">Notes</t>
  </si>
  <si>
    <t xml:space="preserve">Total NRSF</t>
  </si>
  <si>
    <t xml:space="preserve">sq ft</t>
  </si>
  <si>
    <t xml:space="preserve">Net rentable square feet</t>
  </si>
  <si>
    <t xml:space="preserve">Average Unit Size</t>
  </si>
  <si>
    <t xml:space="preserve">Drives unit count for insurance</t>
  </si>
  <si>
    <t xml:space="preserve">Market Rent</t>
  </si>
  <si>
    <t xml:space="preserve">$/sq ft/month</t>
  </si>
  <si>
    <t xml:space="preserve">Suburban climate-controlled benchmark</t>
  </si>
  <si>
    <t xml:space="preserve">Annual Rent Growth</t>
  </si>
  <si>
    <t xml:space="preserve">% p.a.</t>
  </si>
  <si>
    <t xml:space="preserve">Applied from Year 2</t>
  </si>
  <si>
    <t xml:space="preserve">Stabilised Occupancy</t>
  </si>
  <si>
    <t xml:space="preserve">%</t>
  </si>
  <si>
    <t xml:space="preserve">Cap on occupancy ramp</t>
  </si>
  <si>
    <t xml:space="preserve">Lease-up Velocity</t>
  </si>
  <si>
    <t xml:space="preserve">% NRSF/month</t>
  </si>
  <si>
    <t xml:space="preserve">3% per month → stabilises Year 3</t>
  </si>
  <si>
    <t xml:space="preserve">Vacancy &amp; Concessions</t>
  </si>
  <si>
    <t xml:space="preserve">% of GPR</t>
  </si>
  <si>
    <t xml:space="preserve">Applied at all occupancy levels</t>
  </si>
  <si>
    <t xml:space="preserve">INSURANCE &amp; ANCILLARY</t>
  </si>
  <si>
    <t xml:space="preserve">Insurance Penetration</t>
  </si>
  <si>
    <t xml:space="preserve">% of units</t>
  </si>
  <si>
    <t xml:space="preserve">60% of occupied units take insurance</t>
  </si>
  <si>
    <t xml:space="preserve">Insurance Profit / Unit / Month</t>
  </si>
  <si>
    <t xml:space="preserve">$/unit/month</t>
  </si>
  <si>
    <t xml:space="preserve">Operator's 60% share of $15 premium</t>
  </si>
  <si>
    <t xml:space="preserve">Ancillary Income</t>
  </si>
  <si>
    <t xml:space="preserve">Admin fees, retail, late fees</t>
  </si>
  <si>
    <t xml:space="preserve">OPERATING EXPENSES</t>
  </si>
  <si>
    <t xml:space="preserve">Property Opex</t>
  </si>
  <si>
    <t xml:space="preserve">$/sq ft/year</t>
  </si>
  <si>
    <t xml:space="preserve">Total property opex excl. mgmt fee</t>
  </si>
  <si>
    <t xml:space="preserve">Management Fee</t>
  </si>
  <si>
    <t xml:space="preserve">% of EGI</t>
  </si>
  <si>
    <t xml:space="preserve">Third-party management rate</t>
  </si>
  <si>
    <t xml:space="preserve">Opex Growth</t>
  </si>
  <si>
    <t xml:space="preserve">Applied to property opex from Year 2</t>
  </si>
  <si>
    <t xml:space="preserve">Maintenance Capex</t>
  </si>
  <si>
    <t xml:space="preserve">Low wear-and-tear asset class</t>
  </si>
  <si>
    <t xml:space="preserve">DEVELOPMENT COSTS</t>
  </si>
  <si>
    <t xml:space="preserve">Land Cost</t>
  </si>
  <si>
    <t xml:space="preserve">$</t>
  </si>
  <si>
    <t xml:space="preserve">Fee-simple purchase</t>
  </si>
  <si>
    <t xml:space="preserve">Hard Construction Cost</t>
  </si>
  <si>
    <t xml:space="preserve">$/sq ft</t>
  </si>
  <si>
    <t xml:space="preserve">Multi-storey climate-controlled</t>
  </si>
  <si>
    <t xml:space="preserve">Soft Costs</t>
  </si>
  <si>
    <t xml:space="preserve">% of hard costs</t>
  </si>
  <si>
    <t xml:space="preserve">Architecture, engineering, permits</t>
  </si>
  <si>
    <t xml:space="preserve">Contingency</t>
  </si>
  <si>
    <t xml:space="preserve">Construction cost overrun buffer</t>
  </si>
  <si>
    <t xml:space="preserve">Developer Fee</t>
  </si>
  <si>
    <t xml:space="preserve">% of hard+soft</t>
  </si>
  <si>
    <t xml:space="preserve">Developer compensation</t>
  </si>
  <si>
    <t xml:space="preserve">Construction Period</t>
  </si>
  <si>
    <t xml:space="preserve">months</t>
  </si>
  <si>
    <t xml:space="preserve">Drives IDC calculation</t>
  </si>
  <si>
    <t xml:space="preserve">Operating Shortfall Reserve</t>
  </si>
  <si>
    <t xml:space="preserve">Funded lease-up deficit</t>
  </si>
  <si>
    <t xml:space="preserve">FINANCING</t>
  </si>
  <si>
    <t xml:space="preserve">Loan-to-Cost</t>
  </si>
  <si>
    <t xml:space="preserve">% of total dev cost</t>
  </si>
  <si>
    <t xml:space="preserve">Applied to total development cost</t>
  </si>
  <si>
    <t xml:space="preserve">Interest Rate</t>
  </si>
  <si>
    <t xml:space="preserve">~250bps over SOFR</t>
  </si>
  <si>
    <t xml:space="preserve">Amortisation Period</t>
  </si>
  <si>
    <t xml:space="preserve">years</t>
  </si>
  <si>
    <t xml:space="preserve">Standard commercial mortgage</t>
  </si>
  <si>
    <t xml:space="preserve">Interest-Only Period</t>
  </si>
  <si>
    <t xml:space="preserve">No principal repayment Years 1–2</t>
  </si>
  <si>
    <t xml:space="preserve">EXIT ASSUMPTIONS</t>
  </si>
  <si>
    <t xml:space="preserve">Exit Cap Rate</t>
  </si>
  <si>
    <t xml:space="preserve">Applied to forward Year 8 NOI</t>
  </si>
  <si>
    <t xml:space="preserve">Cost of Sale</t>
  </si>
  <si>
    <t xml:space="preserve">% of exit value</t>
  </si>
  <si>
    <t xml:space="preserve">Brokerage and legal fees</t>
  </si>
  <si>
    <t xml:space="preserve">TARGET RETURN METRICS</t>
  </si>
  <si>
    <t xml:space="preserve">Target Unlevered IRR</t>
  </si>
  <si>
    <t xml:space="preserve">Reference only; no named range</t>
  </si>
  <si>
    <t xml:space="preserve">Target Levered IRR</t>
  </si>
  <si>
    <t xml:space="preserve">Reference only</t>
  </si>
  <si>
    <t xml:space="preserve">Target Equity Multiple</t>
  </si>
  <si>
    <t xml:space="preserve">×</t>
  </si>
  <si>
    <t xml:space="preserve">Development Budget</t>
  </si>
  <si>
    <t xml:space="preserve">DEVELOPMENT BUDGET</t>
  </si>
  <si>
    <t xml:space="preserve">Item</t>
  </si>
  <si>
    <t xml:space="preserve">Amount ($)</t>
  </si>
  <si>
    <t xml:space="preserve">Hard Construction Costs</t>
  </si>
  <si>
    <t xml:space="preserve">Gross construction cost</t>
  </si>
  <si>
    <t xml:space="preserve">Cost overrun buffer — % of hard costs</t>
  </si>
  <si>
    <t xml:space="preserve">% of hard + soft costs</t>
  </si>
  <si>
    <t xml:space="preserve">Interest During Construction</t>
  </si>
  <si>
    <t xml:space="preserve">Pre-IDC loan × rate × months/12/2</t>
  </si>
  <si>
    <t xml:space="preserve">Funded lease-up cash deficit</t>
  </si>
  <si>
    <t xml:space="preserve">TOTAL DEVELOPMENT COST</t>
  </si>
  <si>
    <t xml:space="preserve">All-in project cost</t>
  </si>
  <si>
    <t xml:space="preserve">SOURCES &amp; USES</t>
  </si>
  <si>
    <t xml:space="preserve">Senior Loan</t>
  </si>
  <si>
    <t xml:space="preserve">LTC applied to pre-IDC costs</t>
  </si>
  <si>
    <t xml:space="preserve">Equity</t>
  </si>
  <si>
    <t xml:space="preserve">Total cost less senior loan</t>
  </si>
  <si>
    <t xml:space="preserve">Total Sources</t>
  </si>
  <si>
    <t xml:space="preserve">Should equal Total Cost</t>
  </si>
  <si>
    <t xml:space="preserve">S&amp;U Balance Check</t>
  </si>
  <si>
    <t xml:space="preserve">Operating Cash Flow</t>
  </si>
  <si>
    <t xml:space="preserve">Year</t>
  </si>
  <si>
    <t xml:space="preserve">Year 1</t>
  </si>
  <si>
    <t xml:space="preserve">Year 2</t>
  </si>
  <si>
    <t xml:space="preserve">Year 3</t>
  </si>
  <si>
    <t xml:space="preserve">Year 4</t>
  </si>
  <si>
    <t xml:space="preserve">Year 5</t>
  </si>
  <si>
    <t xml:space="preserve">Year 6</t>
  </si>
  <si>
    <t xml:space="preserve">Year 7</t>
  </si>
  <si>
    <t xml:space="preserve">Year Number</t>
  </si>
  <si>
    <t xml:space="preserve">REVENUE</t>
  </si>
  <si>
    <t xml:space="preserve">Occupancy Rate</t>
  </si>
  <si>
    <t xml:space="preserve">Gross Potential Rent</t>
  </si>
  <si>
    <t xml:space="preserve">  Net Rental Income</t>
  </si>
  <si>
    <t xml:space="preserve">  Insurance Income</t>
  </si>
  <si>
    <t xml:space="preserve">  Ancillary Income</t>
  </si>
  <si>
    <t xml:space="preserve">EFFECTIVE GROSS INCOME</t>
  </si>
  <si>
    <t xml:space="preserve">  Property Opex</t>
  </si>
  <si>
    <t xml:space="preserve">  Management Fee</t>
  </si>
  <si>
    <t xml:space="preserve">TOTAL OPEX</t>
  </si>
  <si>
    <t xml:space="preserve">NET OPERATING INCOME</t>
  </si>
  <si>
    <t xml:space="preserve">NOI</t>
  </si>
  <si>
    <t xml:space="preserve">  NOI Margin</t>
  </si>
  <si>
    <t xml:space="preserve">  Depreciation (non-cash)</t>
  </si>
  <si>
    <t xml:space="preserve">UNLEVERED FREE CASH FLOW</t>
  </si>
  <si>
    <t xml:space="preserve">  Maintenance Capex</t>
  </si>
  <si>
    <t xml:space="preserve">UNLEVERED FCF</t>
  </si>
  <si>
    <t xml:space="preserve">Debt Schedule</t>
  </si>
  <si>
    <t xml:space="preserve">LOAN BALANCE ROLL-FORWARD</t>
  </si>
  <si>
    <t xml:space="preserve">Opening Balance</t>
  </si>
  <si>
    <t xml:space="preserve">  Interest Expense</t>
  </si>
  <si>
    <t xml:space="preserve">  Principal Repayment</t>
  </si>
  <si>
    <t xml:space="preserve">Total Debt Service</t>
  </si>
  <si>
    <t xml:space="preserve">Closing Balance</t>
  </si>
  <si>
    <t xml:space="preserve">CREDIT METRICS</t>
  </si>
  <si>
    <t xml:space="preserve">DSCR</t>
  </si>
  <si>
    <t xml:space="preserve">Debt Yield</t>
  </si>
  <si>
    <t xml:space="preserve">Year 0</t>
  </si>
  <si>
    <t xml:space="preserve">EXIT VALUATION (YEAR 7)</t>
  </si>
  <si>
    <t xml:space="preserve">Forward NOI</t>
  </si>
  <si>
    <t xml:space="preserve">Exit Value</t>
  </si>
  <si>
    <t xml:space="preserve">Less: Selling Costs</t>
  </si>
  <si>
    <t xml:space="preserve">Less: Loan Payoff</t>
  </si>
  <si>
    <t xml:space="preserve">Net Sale Proceeds</t>
  </si>
  <si>
    <t xml:space="preserve">CASH FLOW STREAMS</t>
  </si>
  <si>
    <t xml:space="preserve">Unlevered CF</t>
  </si>
  <si>
    <t xml:space="preserve">Levered CF</t>
  </si>
  <si>
    <t xml:space="preserve">RETURN METRICS</t>
  </si>
  <si>
    <t xml:space="preserve">Unlevered IRR</t>
  </si>
  <si>
    <t xml:space="preserve">Levered IRR</t>
  </si>
  <si>
    <t xml:space="preserve">Equity Multiple</t>
  </si>
  <si>
    <t xml:space="preserve">Yield on Cost</t>
  </si>
  <si>
    <t xml:space="preserve">Structural Checks</t>
  </si>
  <si>
    <t xml:space="preserve">STRUCTURAL CHECKS</t>
  </si>
  <si>
    <t xml:space="preserve">Check</t>
  </si>
  <si>
    <t xml:space="preserve">Expected</t>
  </si>
  <si>
    <t xml:space="preserve">Result</t>
  </si>
  <si>
    <t xml:space="preserve">S&amp;U Balance</t>
  </si>
  <si>
    <t xml:space="preserve">&lt; $1</t>
  </si>
  <si>
    <t xml:space="preserve">NRSF Consistent</t>
  </si>
  <si>
    <t xml:space="preserve">Min DSCR (Yrs 3–7)</t>
  </si>
  <si>
    <t xml:space="preserve">&gt;= 1.25x</t>
  </si>
  <si>
    <t xml:space="preserve">YOC &gt; Exit Cap</t>
  </si>
  <si>
    <t xml:space="preserve">&gt; 0</t>
  </si>
  <si>
    <t xml:space="preserve">Lev IRR &gt; Unlev IRR</t>
  </si>
  <si>
    <t xml:space="preserve">Occupancy ≤ Stab Cap</t>
  </si>
  <si>
    <t xml:space="preserve">≤ Stab_Occupancy</t>
  </si>
  <si>
    <t xml:space="preserve">Shortfall Reserve Adequate</t>
  </si>
  <si>
    <t xml:space="preserve">&gt;= 0</t>
  </si>
  <si>
    <t xml:space="preserve">Exit NOI is Forward</t>
  </si>
</sst>
</file>

<file path=xl/styles.xml><?xml version="1.0" encoding="utf-8"?>
<styleSheet xmlns="http://schemas.openxmlformats.org/spreadsheetml/2006/main">
  <numFmts count="5">
    <numFmt numFmtId="164" formatCode="General"/>
    <numFmt numFmtId="165" formatCode="#,##0.00"/>
    <numFmt numFmtId="166" formatCode="\$#,##0.00"/>
    <numFmt numFmtId="167" formatCode="0.00%"/>
    <numFmt numFmtId="168" formatCode="0.00\x"/>
  </numFmts>
  <fonts count="23">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0"/>
      <color theme="0"/>
      <name val="Arial"/>
      <family val="0"/>
      <charset val="1"/>
    </font>
    <font>
      <sz val="11"/>
      <color theme="1"/>
      <name val="Arial"/>
      <family val="0"/>
      <charset val="1"/>
    </font>
    <font>
      <b val="true"/>
      <sz val="10"/>
      <color rgb="FF000000"/>
      <name val="Arial"/>
      <family val="0"/>
      <charset val="1"/>
    </font>
    <font>
      <sz val="10"/>
      <color rgb="FF00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b val="true"/>
      <sz val="10"/>
      <color rgb="FFFFFFFF"/>
      <name val="Arial"/>
      <family val="0"/>
      <charset val="1"/>
    </font>
    <font>
      <sz val="10"/>
      <color rgb="FF2E75B6"/>
      <name val="Arial"/>
      <family val="0"/>
      <charset val="1"/>
    </font>
  </fonts>
  <fills count="9">
    <fill>
      <patternFill patternType="none"/>
    </fill>
    <fill>
      <patternFill patternType="gray125"/>
    </fill>
    <fill>
      <patternFill patternType="solid">
        <fgColor theme="3"/>
        <bgColor rgb="FF1F4E79"/>
      </patternFill>
    </fill>
    <fill>
      <patternFill patternType="solid">
        <fgColor rgb="FFD6E4F0"/>
        <bgColor rgb="FFF2F2F2"/>
      </patternFill>
    </fill>
    <fill>
      <patternFill patternType="solid">
        <fgColor rgb="FF1F4E79"/>
        <bgColor rgb="FF1F497D"/>
      </patternFill>
    </fill>
    <fill>
      <patternFill patternType="solid">
        <fgColor rgb="FFF2F2F2"/>
        <bgColor rgb="FFFFFFFF"/>
      </patternFill>
    </fill>
    <fill>
      <patternFill patternType="solid">
        <fgColor rgb="FFFFF2CC"/>
        <bgColor rgb="FFF2F2F2"/>
      </patternFill>
    </fill>
    <fill>
      <patternFill patternType="solid">
        <fgColor rgb="FF595959"/>
        <bgColor rgb="FF404040"/>
      </patternFill>
    </fill>
    <fill>
      <patternFill patternType="solid">
        <fgColor rgb="FF2E75B6"/>
        <bgColor rgb="FF0066CC"/>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double"/>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true" applyProtection="false">
      <alignment horizontal="left" vertical="center"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5"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1" fillId="4" borderId="0" xfId="0" applyFont="true" applyBorder="false" applyAlignment="true" applyProtection="false">
      <alignment horizontal="left" vertical="center"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9" fillId="3" borderId="0" xfId="0" applyFont="true" applyBorder="false" applyAlignment="true" applyProtection="false">
      <alignment horizontal="left" vertical="center" textRotation="0" wrapText="false" indent="0" shrinkToFit="false"/>
      <protection locked="true" hidden="false"/>
    </xf>
    <xf numFmtId="164" fontId="9" fillId="3" borderId="0" xfId="0" applyFont="true" applyBorder="false" applyAlignment="true" applyProtection="false">
      <alignment horizontal="center" vertical="center" textRotation="0" wrapText="false" indent="0" shrinkToFit="false"/>
      <protection locked="true" hidden="false"/>
    </xf>
    <xf numFmtId="165" fontId="22" fillId="6" borderId="0" xfId="0" applyFont="true" applyBorder="false" applyAlignment="true" applyProtection="false">
      <alignment horizontal="right"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6" fontId="22" fillId="6" borderId="0" xfId="0" applyFont="true" applyBorder="false" applyAlignment="true" applyProtection="false">
      <alignment horizontal="right" vertical="center" textRotation="0" wrapText="false" indent="0" shrinkToFit="false"/>
      <protection locked="true" hidden="false"/>
    </xf>
    <xf numFmtId="167" fontId="22" fillId="6" borderId="0" xfId="0" applyFont="true" applyBorder="false" applyAlignment="true" applyProtection="false">
      <alignment horizontal="right" vertical="center" textRotation="0" wrapText="false" indent="0" shrinkToFit="false"/>
      <protection locked="true" hidden="false"/>
    </xf>
    <xf numFmtId="164" fontId="21" fillId="7" borderId="0" xfId="0" applyFont="true" applyBorder="false" applyAlignment="true" applyProtection="false">
      <alignment horizontal="left" vertical="center"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8" fontId="22" fillId="6" borderId="0" xfId="0" applyFont="true" applyBorder="false" applyAlignment="true" applyProtection="false">
      <alignment horizontal="right" vertical="center" textRotation="0" wrapText="false" indent="0" shrinkToFit="false"/>
      <protection locked="true" hidden="false"/>
    </xf>
    <xf numFmtId="164" fontId="9" fillId="3" borderId="0" xfId="0" applyFont="true" applyBorder="false" applyAlignment="true" applyProtection="false">
      <alignment horizontal="right" vertical="center" textRotation="0" wrapText="false" indent="0" shrinkToFit="false"/>
      <protection locked="true" hidden="false"/>
    </xf>
    <xf numFmtId="166" fontId="10"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false" applyProtection="false">
      <alignment horizontal="general" vertical="bottom" textRotation="0" wrapText="false" indent="0" shrinkToFit="false"/>
      <protection locked="true" hidden="false"/>
    </xf>
    <xf numFmtId="166" fontId="9" fillId="0" borderId="2"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4" borderId="0" xfId="0" applyFont="true" applyBorder="false" applyAlignment="true" applyProtection="false">
      <alignment horizontal="left" vertical="center" textRotation="0" wrapText="false" indent="0" shrinkToFit="false"/>
      <protection locked="true" hidden="false"/>
    </xf>
    <xf numFmtId="164" fontId="21" fillId="4" borderId="0" xfId="0" applyFont="true" applyBorder="false" applyAlignment="true" applyProtection="false">
      <alignment horizontal="center" vertical="center" textRotation="0" wrapText="false" indent="0" shrinkToFit="false"/>
      <protection locked="true" hidden="false"/>
    </xf>
    <xf numFmtId="165" fontId="20" fillId="0" borderId="0" xfId="0" applyFont="true" applyBorder="false" applyAlignment="true" applyProtection="false">
      <alignment horizontal="center" vertical="center" textRotation="0" wrapText="false" indent="0" shrinkToFit="false"/>
      <protection locked="true" hidden="false"/>
    </xf>
    <xf numFmtId="164" fontId="2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center" textRotation="0" wrapText="false" indent="0" shrinkToFit="false"/>
      <protection locked="true" hidden="false"/>
    </xf>
    <xf numFmtId="167" fontId="10"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6" fontId="20"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6" fontId="9" fillId="0" borderId="3" xfId="0" applyFont="true" applyBorder="true" applyAlignment="true" applyProtection="false">
      <alignment horizontal="right" vertical="center" textRotation="0" wrapText="false" indent="0" shrinkToFit="false"/>
      <protection locked="true" hidden="false"/>
    </xf>
    <xf numFmtId="168" fontId="10"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68" fontId="9" fillId="0" borderId="0" xfId="0" applyFont="true" applyBorder="false" applyAlignment="true" applyProtection="false">
      <alignment horizontal="right"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6" fontId="20" fillId="0" borderId="0" xfId="0" applyFont="true" applyBorder="fals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0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30"/>
    <col collapsed="false" customWidth="true" hidden="false" outlineLevel="0" max="4" min="4" style="0" width="45"/>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6" t="s">
        <v>4</v>
      </c>
      <c r="D5" s="6" t="s">
        <v>5</v>
      </c>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7" t="s">
        <v>6</v>
      </c>
      <c r="C6" s="7" t="s">
        <v>6</v>
      </c>
      <c r="D6" s="7" t="s">
        <v>7</v>
      </c>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8</v>
      </c>
      <c r="C7" s="7" t="s">
        <v>9</v>
      </c>
      <c r="D7" s="7" t="s">
        <v>10</v>
      </c>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11</v>
      </c>
      <c r="C8" s="7" t="s">
        <v>12</v>
      </c>
      <c r="D8" s="7" t="s">
        <v>13</v>
      </c>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14</v>
      </c>
      <c r="C9" s="7" t="s">
        <v>15</v>
      </c>
      <c r="D9" s="7" t="s">
        <v>16</v>
      </c>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17</v>
      </c>
      <c r="C10" s="7" t="s">
        <v>17</v>
      </c>
      <c r="D10" s="7" t="s">
        <v>18</v>
      </c>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19</v>
      </c>
      <c r="C11" s="7" t="s">
        <v>19</v>
      </c>
      <c r="D11" s="7" t="s">
        <v>20</v>
      </c>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9.5" hidden="false" customHeight="true" outlineLevel="0" collapsed="false">
      <c r="A14" s="5"/>
      <c r="B14" s="8" t="s">
        <v>21</v>
      </c>
      <c r="C14" s="9"/>
      <c r="D14" s="9"/>
      <c r="E14" s="9"/>
      <c r="F14" s="9"/>
      <c r="G14" s="9"/>
      <c r="H14" s="5"/>
      <c r="I14" s="5"/>
      <c r="J14" s="5"/>
      <c r="K14" s="5"/>
      <c r="L14" s="5"/>
      <c r="M14" s="5"/>
      <c r="N14" s="5"/>
      <c r="O14" s="5"/>
      <c r="P14" s="5"/>
      <c r="Q14" s="5"/>
      <c r="R14" s="5"/>
      <c r="S14" s="5"/>
      <c r="T14" s="5"/>
      <c r="U14" s="5"/>
      <c r="V14" s="5"/>
      <c r="W14" s="5"/>
      <c r="X14" s="5"/>
      <c r="Y14" s="5"/>
      <c r="Z14" s="5"/>
      <c r="AA14" s="5"/>
      <c r="AB14" s="5"/>
      <c r="AC14" s="5"/>
      <c r="AD14" s="5"/>
    </row>
    <row r="15" customFormat="false" ht="183" hidden="false" customHeight="true" outlineLevel="0" collapsed="false">
      <c r="A15" s="5"/>
      <c r="B15" s="10" t="s">
        <v>22</v>
      </c>
      <c r="C15" s="10"/>
      <c r="D15" s="10"/>
      <c r="E15" s="10"/>
      <c r="F15" s="10"/>
      <c r="G15" s="10"/>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9.5" hidden="false" customHeight="true" outlineLevel="0" collapsed="false">
      <c r="A17" s="5"/>
      <c r="B17" s="8" t="s">
        <v>23</v>
      </c>
      <c r="C17" s="9"/>
      <c r="D17" s="9"/>
      <c r="E17" s="9"/>
      <c r="F17" s="9"/>
      <c r="G17" s="9"/>
      <c r="H17" s="5"/>
      <c r="I17" s="5"/>
      <c r="J17" s="5"/>
      <c r="K17" s="5"/>
      <c r="L17" s="5"/>
      <c r="M17" s="5"/>
      <c r="N17" s="5"/>
      <c r="O17" s="5"/>
      <c r="P17" s="5"/>
      <c r="Q17" s="5"/>
      <c r="R17" s="5"/>
      <c r="S17" s="5"/>
      <c r="T17" s="5"/>
      <c r="U17" s="5"/>
      <c r="V17" s="5"/>
      <c r="W17" s="5"/>
      <c r="X17" s="5"/>
      <c r="Y17" s="5"/>
      <c r="Z17" s="5"/>
      <c r="AA17" s="5"/>
      <c r="AB17" s="5"/>
      <c r="AC17" s="5"/>
      <c r="AD17" s="5"/>
    </row>
    <row r="18" customFormat="false" ht="57" hidden="false" customHeight="true" outlineLevel="0" collapsed="false">
      <c r="A18" s="5"/>
      <c r="B18" s="10" t="s">
        <v>24</v>
      </c>
      <c r="C18" s="10"/>
      <c r="D18" s="10"/>
      <c r="E18" s="10"/>
      <c r="F18" s="10"/>
      <c r="G18" s="10"/>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11" t="s">
        <v>25</v>
      </c>
      <c r="C19" s="11"/>
      <c r="D19" s="11"/>
      <c r="E19" s="11"/>
      <c r="F19" s="11"/>
      <c r="G19" s="11"/>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12" t="s">
        <v>26</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sheetData>
  <mergeCells count="3">
    <mergeCell ref="B15:G15"/>
    <mergeCell ref="B18:G18"/>
    <mergeCell ref="B19:G1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13" t="s">
        <v>27</v>
      </c>
    </row>
    <row r="3" customFormat="false" ht="3.75" hidden="false" customHeight="true" outlineLevel="0" collapsed="false">
      <c r="A3" s="5"/>
      <c r="B3" s="14"/>
    </row>
    <row r="4" customFormat="false" ht="15" hidden="false" customHeight="false" outlineLevel="0" collapsed="false">
      <c r="A4" s="5"/>
      <c r="B4" s="5"/>
    </row>
    <row r="5" customFormat="false" ht="19.5" hidden="false" customHeight="true" outlineLevel="0" collapsed="false">
      <c r="A5" s="5"/>
      <c r="B5" s="15" t="s">
        <v>28</v>
      </c>
    </row>
    <row r="6" customFormat="false" ht="48" hidden="false" customHeight="true" outlineLevel="0" collapsed="false">
      <c r="A6" s="5"/>
      <c r="B6" s="16" t="s">
        <v>29</v>
      </c>
    </row>
    <row r="7" customFormat="false" ht="15" hidden="false" customHeight="false" outlineLevel="0" collapsed="false">
      <c r="A7" s="5"/>
      <c r="B7" s="5"/>
    </row>
    <row r="8" customFormat="false" ht="19.5" hidden="false" customHeight="true" outlineLevel="0" collapsed="false">
      <c r="A8" s="5"/>
      <c r="B8" s="15" t="s">
        <v>30</v>
      </c>
    </row>
    <row r="9" customFormat="false" ht="61.5" hidden="false" customHeight="true" outlineLevel="0" collapsed="false">
      <c r="A9" s="5"/>
      <c r="B9" s="16" t="s">
        <v>31</v>
      </c>
    </row>
    <row r="10" customFormat="false" ht="15" hidden="false" customHeight="false" outlineLevel="0" collapsed="false">
      <c r="A10" s="5"/>
      <c r="B10" s="5"/>
    </row>
    <row r="11" customFormat="false" ht="19.5" hidden="false" customHeight="true" outlineLevel="0" collapsed="false">
      <c r="A11" s="5"/>
      <c r="B11" s="15" t="s">
        <v>32</v>
      </c>
    </row>
    <row r="12" customFormat="false" ht="75.75" hidden="false" customHeight="true" outlineLevel="0" collapsed="false">
      <c r="A12" s="5"/>
      <c r="B12" s="16" t="s">
        <v>33</v>
      </c>
    </row>
    <row r="13" customFormat="false" ht="15" hidden="false" customHeight="false" outlineLevel="0" collapsed="false">
      <c r="A13" s="5"/>
      <c r="B13" s="5"/>
    </row>
    <row r="14" customFormat="false" ht="19.5" hidden="false" customHeight="true" outlineLevel="0" collapsed="false">
      <c r="A14" s="5"/>
      <c r="B14" s="15" t="s">
        <v>34</v>
      </c>
    </row>
    <row r="15" customFormat="false" ht="61.5" hidden="false" customHeight="true" outlineLevel="0" collapsed="false">
      <c r="A15" s="5"/>
      <c r="B15" s="16" t="s">
        <v>35</v>
      </c>
    </row>
    <row r="16" customFormat="false" ht="15" hidden="false" customHeight="false" outlineLevel="0" collapsed="false">
      <c r="A16" s="5"/>
      <c r="B16" s="5"/>
    </row>
    <row r="17" customFormat="false" ht="19.5" hidden="false" customHeight="true" outlineLevel="0" collapsed="false">
      <c r="A17" s="5"/>
      <c r="B17" s="15" t="s">
        <v>36</v>
      </c>
    </row>
    <row r="18" customFormat="false" ht="33.75" hidden="false" customHeight="true" outlineLevel="0" collapsed="false">
      <c r="A18" s="5"/>
      <c r="B18" s="16" t="s">
        <v>37</v>
      </c>
    </row>
    <row r="19" customFormat="false" ht="15" hidden="false" customHeight="false" outlineLevel="0" collapsed="false">
      <c r="A19" s="5"/>
      <c r="B19" s="5"/>
    </row>
    <row r="20" customFormat="false" ht="19.5" hidden="false" customHeight="true" outlineLevel="0" collapsed="false">
      <c r="A20" s="5"/>
      <c r="B20" s="15" t="s">
        <v>38</v>
      </c>
    </row>
    <row r="21" customFormat="false" ht="33.75" hidden="false" customHeight="true" outlineLevel="0" collapsed="false">
      <c r="A21" s="5"/>
      <c r="B21" s="16" t="s">
        <v>39</v>
      </c>
    </row>
    <row r="22" customFormat="false" ht="15" hidden="false" customHeight="false" outlineLevel="0" collapsed="false">
      <c r="A22" s="5"/>
      <c r="B22" s="5"/>
    </row>
    <row r="23" customFormat="false" ht="21.75" hidden="false" customHeight="true" outlineLevel="0" collapsed="false">
      <c r="A23" s="5"/>
      <c r="B23" s="17" t="s">
        <v>40</v>
      </c>
    </row>
    <row r="24" customFormat="false" ht="15" hidden="false" customHeight="false" outlineLevel="0" collapsed="false">
      <c r="A24" s="5"/>
      <c r="B24" s="5"/>
    </row>
    <row r="25" customFormat="false" ht="18" hidden="false" customHeight="true" outlineLevel="0" collapsed="false">
      <c r="A25" s="5"/>
      <c r="B25" s="18" t="s">
        <v>41</v>
      </c>
    </row>
    <row r="26" customFormat="false" ht="201.75" hidden="false" customHeight="true" outlineLevel="0" collapsed="false">
      <c r="A26" s="5"/>
      <c r="B26" s="19" t="s">
        <v>42</v>
      </c>
    </row>
    <row r="27" customFormat="false" ht="15" hidden="false" customHeight="false" outlineLevel="0" collapsed="false">
      <c r="A27" s="5"/>
      <c r="B27" s="5"/>
    </row>
    <row r="28" customFormat="false" ht="18" hidden="false" customHeight="true" outlineLevel="0" collapsed="false">
      <c r="A28" s="5"/>
      <c r="B28" s="20" t="s">
        <v>43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F4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8"/>
    <col collapsed="false" customWidth="true" hidden="false" outlineLevel="0" max="4" min="4" style="0" width="22"/>
    <col collapsed="false" customWidth="true" hidden="false" outlineLevel="0" max="5" min="5" style="0" width="48"/>
  </cols>
  <sheetData>
    <row r="1" customFormat="false" ht="15" hidden="false" customHeight="false" outlineLevel="0" collapsed="false">
      <c r="A1" s="5"/>
      <c r="B1" s="5"/>
      <c r="C1" s="5"/>
      <c r="D1" s="5"/>
      <c r="E1" s="5"/>
      <c r="F1" s="5"/>
    </row>
    <row r="2" customFormat="false" ht="22.05" hidden="false" customHeight="false" outlineLevel="0" collapsed="false">
      <c r="A2" s="5"/>
      <c r="B2" s="21" t="s">
        <v>6</v>
      </c>
      <c r="C2" s="5"/>
      <c r="D2" s="5"/>
      <c r="E2" s="5"/>
      <c r="F2" s="5"/>
    </row>
    <row r="3" customFormat="false" ht="15" hidden="false" customHeight="false" outlineLevel="0" collapsed="false">
      <c r="A3" s="5"/>
      <c r="B3" s="22" t="s">
        <v>44</v>
      </c>
      <c r="C3" s="23"/>
      <c r="D3" s="23"/>
      <c r="E3" s="23"/>
      <c r="F3" s="23"/>
    </row>
    <row r="4" customFormat="false" ht="15" hidden="false" customHeight="false" outlineLevel="0" collapsed="false">
      <c r="A4" s="5"/>
      <c r="B4" s="24" t="s">
        <v>45</v>
      </c>
      <c r="C4" s="25" t="s">
        <v>46</v>
      </c>
      <c r="D4" s="25" t="s">
        <v>47</v>
      </c>
      <c r="E4" s="25" t="s">
        <v>48</v>
      </c>
      <c r="F4" s="5"/>
    </row>
    <row r="5" customFormat="false" ht="15" hidden="false" customHeight="false" outlineLevel="0" collapsed="false">
      <c r="A5" s="5"/>
      <c r="B5" s="5"/>
      <c r="C5" s="5"/>
      <c r="D5" s="5"/>
      <c r="E5" s="5"/>
      <c r="F5" s="5"/>
    </row>
    <row r="6" customFormat="false" ht="15" hidden="false" customHeight="false" outlineLevel="0" collapsed="false">
      <c r="A6" s="5"/>
      <c r="B6" s="5"/>
      <c r="C6" s="5"/>
      <c r="D6" s="5"/>
      <c r="E6" s="5"/>
      <c r="F6" s="5"/>
    </row>
    <row r="7" customFormat="false" ht="15" hidden="false" customHeight="false" outlineLevel="0" collapsed="false">
      <c r="A7" s="5"/>
      <c r="B7" s="7" t="s">
        <v>49</v>
      </c>
      <c r="C7" s="26" t="n">
        <v>60000</v>
      </c>
      <c r="D7" s="27" t="s">
        <v>50</v>
      </c>
      <c r="E7" s="28" t="s">
        <v>51</v>
      </c>
      <c r="F7" s="5"/>
    </row>
    <row r="8" customFormat="false" ht="15" hidden="false" customHeight="false" outlineLevel="0" collapsed="false">
      <c r="A8" s="5"/>
      <c r="B8" s="7" t="s">
        <v>52</v>
      </c>
      <c r="C8" s="26" t="n">
        <v>100</v>
      </c>
      <c r="D8" s="27" t="s">
        <v>50</v>
      </c>
      <c r="E8" s="28" t="s">
        <v>53</v>
      </c>
      <c r="F8" s="5"/>
    </row>
    <row r="9" customFormat="false" ht="15" hidden="false" customHeight="false" outlineLevel="0" collapsed="false">
      <c r="A9" s="5"/>
      <c r="B9" s="7" t="s">
        <v>54</v>
      </c>
      <c r="C9" s="29" t="n">
        <v>1.5</v>
      </c>
      <c r="D9" s="27" t="s">
        <v>55</v>
      </c>
      <c r="E9" s="28" t="s">
        <v>56</v>
      </c>
      <c r="F9" s="5"/>
    </row>
    <row r="10" customFormat="false" ht="15" hidden="false" customHeight="false" outlineLevel="0" collapsed="false">
      <c r="A10" s="5"/>
      <c r="B10" s="7" t="s">
        <v>57</v>
      </c>
      <c r="C10" s="30" t="n">
        <v>0.03</v>
      </c>
      <c r="D10" s="27" t="s">
        <v>58</v>
      </c>
      <c r="E10" s="28" t="s">
        <v>59</v>
      </c>
      <c r="F10" s="5"/>
    </row>
    <row r="11" customFormat="false" ht="15" hidden="false" customHeight="false" outlineLevel="0" collapsed="false">
      <c r="A11" s="5"/>
      <c r="B11" s="7" t="s">
        <v>60</v>
      </c>
      <c r="C11" s="30" t="n">
        <v>0.9</v>
      </c>
      <c r="D11" s="27" t="s">
        <v>61</v>
      </c>
      <c r="E11" s="28" t="s">
        <v>62</v>
      </c>
      <c r="F11" s="5"/>
    </row>
    <row r="12" customFormat="false" ht="15" hidden="false" customHeight="false" outlineLevel="0" collapsed="false">
      <c r="A12" s="5"/>
      <c r="B12" s="7" t="s">
        <v>63</v>
      </c>
      <c r="C12" s="30" t="n">
        <v>0.03</v>
      </c>
      <c r="D12" s="27" t="s">
        <v>64</v>
      </c>
      <c r="E12" s="28" t="s">
        <v>65</v>
      </c>
      <c r="F12" s="5"/>
    </row>
    <row r="13" customFormat="false" ht="15" hidden="false" customHeight="false" outlineLevel="0" collapsed="false">
      <c r="A13" s="5"/>
      <c r="B13" s="7" t="s">
        <v>66</v>
      </c>
      <c r="C13" s="30" t="n">
        <v>0.05</v>
      </c>
      <c r="D13" s="27" t="s">
        <v>67</v>
      </c>
      <c r="E13" s="28" t="s">
        <v>68</v>
      </c>
      <c r="F13" s="5"/>
    </row>
    <row r="14" customFormat="false" ht="15" hidden="false" customHeight="false" outlineLevel="0" collapsed="false">
      <c r="A14" s="5"/>
      <c r="B14" s="5"/>
      <c r="C14" s="5"/>
      <c r="D14" s="5"/>
      <c r="E14" s="5"/>
      <c r="F14" s="5"/>
    </row>
    <row r="15" customFormat="false" ht="15" hidden="false" customHeight="false" outlineLevel="0" collapsed="false">
      <c r="A15" s="5"/>
      <c r="B15" s="22" t="s">
        <v>69</v>
      </c>
      <c r="C15" s="23"/>
      <c r="D15" s="23"/>
      <c r="E15" s="23"/>
      <c r="F15" s="23"/>
    </row>
    <row r="16" customFormat="false" ht="15" hidden="false" customHeight="false" outlineLevel="0" collapsed="false">
      <c r="A16" s="5"/>
      <c r="B16" s="7" t="s">
        <v>70</v>
      </c>
      <c r="C16" s="30" t="n">
        <v>0.6</v>
      </c>
      <c r="D16" s="27" t="s">
        <v>71</v>
      </c>
      <c r="E16" s="28" t="s">
        <v>72</v>
      </c>
      <c r="F16" s="5"/>
    </row>
    <row r="17" customFormat="false" ht="15" hidden="false" customHeight="false" outlineLevel="0" collapsed="false">
      <c r="A17" s="5"/>
      <c r="B17" s="7" t="s">
        <v>73</v>
      </c>
      <c r="C17" s="29" t="n">
        <v>9</v>
      </c>
      <c r="D17" s="27" t="s">
        <v>74</v>
      </c>
      <c r="E17" s="28" t="s">
        <v>75</v>
      </c>
      <c r="F17" s="5"/>
    </row>
    <row r="18" customFormat="false" ht="15" hidden="false" customHeight="false" outlineLevel="0" collapsed="false">
      <c r="A18" s="5"/>
      <c r="B18" s="7" t="s">
        <v>76</v>
      </c>
      <c r="C18" s="30" t="n">
        <v>0.02</v>
      </c>
      <c r="D18" s="27" t="s">
        <v>67</v>
      </c>
      <c r="E18" s="28" t="s">
        <v>77</v>
      </c>
      <c r="F18" s="5"/>
    </row>
    <row r="19" customFormat="false" ht="15" hidden="false" customHeight="false" outlineLevel="0" collapsed="false">
      <c r="A19" s="5"/>
      <c r="B19" s="5"/>
      <c r="C19" s="5"/>
      <c r="D19" s="5"/>
      <c r="E19" s="5"/>
      <c r="F19" s="5"/>
    </row>
    <row r="20" customFormat="false" ht="15" hidden="false" customHeight="false" outlineLevel="0" collapsed="false">
      <c r="A20" s="5"/>
      <c r="B20" s="22" t="s">
        <v>78</v>
      </c>
      <c r="C20" s="23"/>
      <c r="D20" s="23"/>
      <c r="E20" s="23"/>
      <c r="F20" s="23"/>
    </row>
    <row r="21" customFormat="false" ht="15" hidden="false" customHeight="false" outlineLevel="0" collapsed="false">
      <c r="A21" s="5"/>
      <c r="B21" s="7" t="s">
        <v>79</v>
      </c>
      <c r="C21" s="29" t="n">
        <v>4.05</v>
      </c>
      <c r="D21" s="27" t="s">
        <v>80</v>
      </c>
      <c r="E21" s="28" t="s">
        <v>81</v>
      </c>
      <c r="F21" s="5"/>
    </row>
    <row r="22" customFormat="false" ht="15" hidden="false" customHeight="false" outlineLevel="0" collapsed="false">
      <c r="A22" s="5"/>
      <c r="B22" s="7" t="s">
        <v>82</v>
      </c>
      <c r="C22" s="30" t="n">
        <v>0.06</v>
      </c>
      <c r="D22" s="27" t="s">
        <v>83</v>
      </c>
      <c r="E22" s="28" t="s">
        <v>84</v>
      </c>
      <c r="F22" s="5"/>
    </row>
    <row r="23" customFormat="false" ht="15" hidden="false" customHeight="false" outlineLevel="0" collapsed="false">
      <c r="A23" s="5"/>
      <c r="B23" s="7" t="s">
        <v>85</v>
      </c>
      <c r="C23" s="30" t="n">
        <v>0.025</v>
      </c>
      <c r="D23" s="27" t="s">
        <v>58</v>
      </c>
      <c r="E23" s="28" t="s">
        <v>86</v>
      </c>
      <c r="F23" s="5"/>
    </row>
    <row r="24" customFormat="false" ht="15" hidden="false" customHeight="false" outlineLevel="0" collapsed="false">
      <c r="A24" s="5"/>
      <c r="B24" s="7" t="s">
        <v>87</v>
      </c>
      <c r="C24" s="29" t="n">
        <v>0.15</v>
      </c>
      <c r="D24" s="27" t="s">
        <v>80</v>
      </c>
      <c r="E24" s="28" t="s">
        <v>88</v>
      </c>
      <c r="F24" s="5"/>
    </row>
    <row r="25" customFormat="false" ht="15" hidden="false" customHeight="false" outlineLevel="0" collapsed="false">
      <c r="A25" s="5"/>
      <c r="B25" s="5"/>
      <c r="C25" s="5"/>
      <c r="D25" s="5"/>
      <c r="E25" s="5"/>
      <c r="F25" s="5"/>
    </row>
    <row r="26" customFormat="false" ht="15" hidden="false" customHeight="false" outlineLevel="0" collapsed="false">
      <c r="A26" s="5"/>
      <c r="B26" s="22" t="s">
        <v>89</v>
      </c>
      <c r="C26" s="23"/>
      <c r="D26" s="23"/>
      <c r="E26" s="23"/>
      <c r="F26" s="23"/>
    </row>
    <row r="27" customFormat="false" ht="15" hidden="false" customHeight="false" outlineLevel="0" collapsed="false">
      <c r="A27" s="5"/>
      <c r="B27" s="7" t="s">
        <v>90</v>
      </c>
      <c r="C27" s="29" t="n">
        <v>1500000</v>
      </c>
      <c r="D27" s="27" t="s">
        <v>91</v>
      </c>
      <c r="E27" s="28" t="s">
        <v>92</v>
      </c>
      <c r="F27" s="5"/>
    </row>
    <row r="28" customFormat="false" ht="15" hidden="false" customHeight="false" outlineLevel="0" collapsed="false">
      <c r="A28" s="5"/>
      <c r="B28" s="7" t="s">
        <v>93</v>
      </c>
      <c r="C28" s="29" t="n">
        <v>85</v>
      </c>
      <c r="D28" s="27" t="s">
        <v>94</v>
      </c>
      <c r="E28" s="28" t="s">
        <v>95</v>
      </c>
      <c r="F28" s="5"/>
    </row>
    <row r="29" customFormat="false" ht="15" hidden="false" customHeight="false" outlineLevel="0" collapsed="false">
      <c r="A29" s="5"/>
      <c r="B29" s="7" t="s">
        <v>96</v>
      </c>
      <c r="C29" s="30" t="n">
        <v>0.12</v>
      </c>
      <c r="D29" s="27" t="s">
        <v>97</v>
      </c>
      <c r="E29" s="28" t="s">
        <v>98</v>
      </c>
      <c r="F29" s="5"/>
    </row>
    <row r="30" customFormat="false" ht="15" hidden="false" customHeight="false" outlineLevel="0" collapsed="false">
      <c r="A30" s="5"/>
      <c r="B30" s="7" t="s">
        <v>99</v>
      </c>
      <c r="C30" s="30" t="n">
        <v>0.05</v>
      </c>
      <c r="D30" s="27" t="s">
        <v>97</v>
      </c>
      <c r="E30" s="28" t="s">
        <v>100</v>
      </c>
      <c r="F30" s="5"/>
    </row>
    <row r="31" customFormat="false" ht="15" hidden="false" customHeight="false" outlineLevel="0" collapsed="false">
      <c r="A31" s="5"/>
      <c r="B31" s="7" t="s">
        <v>101</v>
      </c>
      <c r="C31" s="30" t="n">
        <v>0.03</v>
      </c>
      <c r="D31" s="27" t="s">
        <v>102</v>
      </c>
      <c r="E31" s="28" t="s">
        <v>103</v>
      </c>
      <c r="F31" s="5"/>
    </row>
    <row r="32" customFormat="false" ht="15" hidden="false" customHeight="false" outlineLevel="0" collapsed="false">
      <c r="A32" s="5"/>
      <c r="B32" s="7" t="s">
        <v>104</v>
      </c>
      <c r="C32" s="26" t="n">
        <v>12</v>
      </c>
      <c r="D32" s="27" t="s">
        <v>105</v>
      </c>
      <c r="E32" s="28" t="s">
        <v>106</v>
      </c>
      <c r="F32" s="5"/>
    </row>
    <row r="33" customFormat="false" ht="15" hidden="false" customHeight="false" outlineLevel="0" collapsed="false">
      <c r="A33" s="5"/>
      <c r="B33" s="7" t="s">
        <v>107</v>
      </c>
      <c r="C33" s="29" t="n">
        <v>400000</v>
      </c>
      <c r="D33" s="27" t="s">
        <v>91</v>
      </c>
      <c r="E33" s="28" t="s">
        <v>108</v>
      </c>
      <c r="F33" s="5"/>
    </row>
    <row r="34" customFormat="false" ht="15" hidden="false" customHeight="false" outlineLevel="0" collapsed="false">
      <c r="A34" s="5"/>
      <c r="B34" s="5"/>
      <c r="C34" s="5"/>
      <c r="D34" s="5"/>
      <c r="E34" s="5"/>
      <c r="F34" s="5"/>
    </row>
    <row r="35" customFormat="false" ht="15" hidden="false" customHeight="false" outlineLevel="0" collapsed="false">
      <c r="A35" s="5"/>
      <c r="B35" s="22" t="s">
        <v>109</v>
      </c>
      <c r="C35" s="23"/>
      <c r="D35" s="23"/>
      <c r="E35" s="23"/>
      <c r="F35" s="23"/>
    </row>
    <row r="36" customFormat="false" ht="15" hidden="false" customHeight="false" outlineLevel="0" collapsed="false">
      <c r="A36" s="5"/>
      <c r="B36" s="7" t="s">
        <v>110</v>
      </c>
      <c r="C36" s="30" t="n">
        <v>0.65</v>
      </c>
      <c r="D36" s="27" t="s">
        <v>111</v>
      </c>
      <c r="E36" s="28" t="s">
        <v>112</v>
      </c>
      <c r="F36" s="5"/>
    </row>
    <row r="37" customFormat="false" ht="15" hidden="false" customHeight="false" outlineLevel="0" collapsed="false">
      <c r="A37" s="5"/>
      <c r="B37" s="7" t="s">
        <v>113</v>
      </c>
      <c r="C37" s="30" t="n">
        <v>0.065</v>
      </c>
      <c r="D37" s="27" t="s">
        <v>58</v>
      </c>
      <c r="E37" s="28" t="s">
        <v>114</v>
      </c>
      <c r="F37" s="5"/>
    </row>
    <row r="38" customFormat="false" ht="15" hidden="false" customHeight="false" outlineLevel="0" collapsed="false">
      <c r="A38" s="5"/>
      <c r="B38" s="7" t="s">
        <v>115</v>
      </c>
      <c r="C38" s="26" t="n">
        <v>25</v>
      </c>
      <c r="D38" s="27" t="s">
        <v>116</v>
      </c>
      <c r="E38" s="28" t="s">
        <v>117</v>
      </c>
      <c r="F38" s="5"/>
    </row>
    <row r="39" customFormat="false" ht="15" hidden="false" customHeight="false" outlineLevel="0" collapsed="false">
      <c r="A39" s="5"/>
      <c r="B39" s="7" t="s">
        <v>118</v>
      </c>
      <c r="C39" s="26" t="n">
        <v>2</v>
      </c>
      <c r="D39" s="27" t="s">
        <v>116</v>
      </c>
      <c r="E39" s="28" t="s">
        <v>119</v>
      </c>
      <c r="F39" s="5"/>
    </row>
    <row r="40" customFormat="false" ht="15" hidden="false" customHeight="false" outlineLevel="0" collapsed="false">
      <c r="A40" s="5"/>
      <c r="B40" s="5"/>
      <c r="C40" s="5"/>
      <c r="D40" s="5"/>
      <c r="E40" s="5"/>
      <c r="F40" s="5"/>
    </row>
    <row r="41" customFormat="false" ht="15" hidden="false" customHeight="false" outlineLevel="0" collapsed="false">
      <c r="A41" s="5"/>
      <c r="B41" s="22" t="s">
        <v>120</v>
      </c>
      <c r="C41" s="23"/>
      <c r="D41" s="23"/>
      <c r="E41" s="23"/>
      <c r="F41" s="23"/>
    </row>
    <row r="42" customFormat="false" ht="15" hidden="false" customHeight="false" outlineLevel="0" collapsed="false">
      <c r="A42" s="5"/>
      <c r="B42" s="7" t="s">
        <v>121</v>
      </c>
      <c r="C42" s="30" t="n">
        <v>0.06</v>
      </c>
      <c r="D42" s="27" t="s">
        <v>61</v>
      </c>
      <c r="E42" s="28" t="s">
        <v>122</v>
      </c>
      <c r="F42" s="5"/>
    </row>
    <row r="43" customFormat="false" ht="15" hidden="false" customHeight="false" outlineLevel="0" collapsed="false">
      <c r="A43" s="5"/>
      <c r="B43" s="7" t="s">
        <v>123</v>
      </c>
      <c r="C43" s="30" t="n">
        <v>0.02</v>
      </c>
      <c r="D43" s="27" t="s">
        <v>124</v>
      </c>
      <c r="E43" s="28" t="s">
        <v>125</v>
      </c>
      <c r="F43" s="5"/>
    </row>
    <row r="44" customFormat="false" ht="15" hidden="false" customHeight="false" outlineLevel="0" collapsed="false">
      <c r="A44" s="5"/>
      <c r="B44" s="5"/>
      <c r="C44" s="5"/>
      <c r="D44" s="5"/>
      <c r="E44" s="5"/>
      <c r="F44" s="5"/>
    </row>
    <row r="45" customFormat="false" ht="15" hidden="false" customHeight="false" outlineLevel="0" collapsed="false">
      <c r="A45" s="5"/>
      <c r="B45" s="31" t="s">
        <v>126</v>
      </c>
      <c r="C45" s="32"/>
      <c r="D45" s="32"/>
      <c r="E45" s="32"/>
      <c r="F45" s="32"/>
    </row>
    <row r="46" customFormat="false" ht="15" hidden="false" customHeight="false" outlineLevel="0" collapsed="false">
      <c r="A46" s="5"/>
      <c r="B46" s="7" t="s">
        <v>127</v>
      </c>
      <c r="C46" s="30" t="n">
        <v>0.1</v>
      </c>
      <c r="D46" s="27" t="s">
        <v>61</v>
      </c>
      <c r="E46" s="28" t="s">
        <v>128</v>
      </c>
      <c r="F46" s="5"/>
    </row>
    <row r="47" customFormat="false" ht="15" hidden="false" customHeight="false" outlineLevel="0" collapsed="false">
      <c r="A47" s="5"/>
      <c r="B47" s="7" t="s">
        <v>129</v>
      </c>
      <c r="C47" s="30" t="n">
        <v>0.15</v>
      </c>
      <c r="D47" s="27" t="s">
        <v>61</v>
      </c>
      <c r="E47" s="28" t="s">
        <v>130</v>
      </c>
      <c r="F47" s="5"/>
    </row>
    <row r="48" customFormat="false" ht="15" hidden="false" customHeight="false" outlineLevel="0" collapsed="false">
      <c r="A48" s="5"/>
      <c r="B48" s="7" t="s">
        <v>131</v>
      </c>
      <c r="C48" s="33" t="n">
        <v>2</v>
      </c>
      <c r="D48" s="27" t="s">
        <v>132</v>
      </c>
      <c r="E48" s="28" t="s">
        <v>130</v>
      </c>
      <c r="F48"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E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8"/>
    <col collapsed="false" customWidth="true" hidden="false" outlineLevel="0" max="3" min="3" style="0" width="20"/>
    <col collapsed="false" customWidth="true" hidden="false" outlineLevel="0" max="4" min="4" style="0" width="50"/>
  </cols>
  <sheetData>
    <row r="1" customFormat="false" ht="15" hidden="false" customHeight="false" outlineLevel="0" collapsed="false">
      <c r="A1" s="5"/>
      <c r="B1" s="5"/>
      <c r="C1" s="5"/>
      <c r="D1" s="5"/>
      <c r="E1" s="5"/>
    </row>
    <row r="2" customFormat="false" ht="22.05" hidden="false" customHeight="false" outlineLevel="0" collapsed="false">
      <c r="A2" s="5"/>
      <c r="B2" s="21" t="s">
        <v>133</v>
      </c>
      <c r="C2" s="5"/>
      <c r="D2" s="5"/>
      <c r="E2" s="5"/>
    </row>
    <row r="3" customFormat="false" ht="15" hidden="false" customHeight="false" outlineLevel="0" collapsed="false">
      <c r="A3" s="5"/>
      <c r="B3" s="22" t="s">
        <v>134</v>
      </c>
      <c r="C3" s="23"/>
      <c r="D3" s="23"/>
      <c r="E3" s="23"/>
    </row>
    <row r="4" customFormat="false" ht="15" hidden="false" customHeight="false" outlineLevel="0" collapsed="false">
      <c r="A4" s="5"/>
      <c r="B4" s="24" t="s">
        <v>135</v>
      </c>
      <c r="C4" s="34" t="s">
        <v>136</v>
      </c>
      <c r="D4" s="24" t="s">
        <v>48</v>
      </c>
      <c r="E4" s="5"/>
    </row>
    <row r="5" customFormat="false" ht="15" hidden="false" customHeight="false" outlineLevel="0" collapsed="false">
      <c r="A5" s="5"/>
      <c r="B5" s="7" t="s">
        <v>90</v>
      </c>
      <c r="C5" s="35" t="n">
        <f aca="false">Land_Cost</f>
        <v>1500000</v>
      </c>
      <c r="D5" s="28" t="s">
        <v>92</v>
      </c>
      <c r="E5" s="5"/>
    </row>
    <row r="6" customFormat="false" ht="15" hidden="false" customHeight="false" outlineLevel="0" collapsed="false">
      <c r="A6" s="5"/>
      <c r="B6" s="7" t="s">
        <v>137</v>
      </c>
      <c r="C6" s="35" t="n">
        <f aca="false">Hard_Cost_PSF*NRSF</f>
        <v>5100000</v>
      </c>
      <c r="D6" s="28" t="s">
        <v>138</v>
      </c>
      <c r="E6" s="5"/>
    </row>
    <row r="7" customFormat="false" ht="15" hidden="false" customHeight="false" outlineLevel="0" collapsed="false">
      <c r="A7" s="5"/>
      <c r="B7" s="7" t="s">
        <v>96</v>
      </c>
      <c r="C7" s="35" t="n">
        <f aca="false">Development_Budget!$C$6*Soft_Cost_Pct</f>
        <v>612000</v>
      </c>
      <c r="D7" s="28" t="s">
        <v>98</v>
      </c>
      <c r="E7" s="5"/>
    </row>
    <row r="8" customFormat="false" ht="15" hidden="false" customHeight="false" outlineLevel="0" collapsed="false">
      <c r="A8" s="5"/>
      <c r="B8" s="7" t="s">
        <v>99</v>
      </c>
      <c r="C8" s="35" t="n">
        <f aca="false">Development_Budget!$C$6*Contingency_Pct</f>
        <v>255000</v>
      </c>
      <c r="D8" s="28" t="s">
        <v>139</v>
      </c>
      <c r="E8" s="5"/>
    </row>
    <row r="9" customFormat="false" ht="15" hidden="false" customHeight="false" outlineLevel="0" collapsed="false">
      <c r="A9" s="5"/>
      <c r="B9" s="7" t="s">
        <v>101</v>
      </c>
      <c r="C9" s="35" t="n">
        <f aca="false">(Development_Budget!$C$6+Development_Budget!$C$7)*Dev_Fee_Pct</f>
        <v>171360</v>
      </c>
      <c r="D9" s="28" t="s">
        <v>140</v>
      </c>
      <c r="E9" s="5"/>
    </row>
    <row r="10" customFormat="false" ht="15" hidden="false" customHeight="false" outlineLevel="0" collapsed="false">
      <c r="A10" s="5"/>
      <c r="B10" s="7" t="s">
        <v>141</v>
      </c>
      <c r="C10" s="35" t="n">
        <f aca="false">(LTC*(Development_Budget!$C$5+Development_Budget!$C$6+Development_Budget!$C$7+Development_Budget!$C$8+Development_Budget!$C$9+Development_Budget!$C$11))*Interest_Rate*Const_Months/12/2</f>
        <v>169810.355</v>
      </c>
      <c r="D10" s="28" t="s">
        <v>142</v>
      </c>
      <c r="E10" s="5"/>
    </row>
    <row r="11" customFormat="false" ht="15" hidden="false" customHeight="false" outlineLevel="0" collapsed="false">
      <c r="A11" s="5"/>
      <c r="B11" s="7" t="s">
        <v>107</v>
      </c>
      <c r="C11" s="35" t="n">
        <f aca="false">Op_Shortfall_Reserve</f>
        <v>400000</v>
      </c>
      <c r="D11" s="28" t="s">
        <v>143</v>
      </c>
      <c r="E11" s="5"/>
    </row>
    <row r="12" customFormat="false" ht="15" hidden="false" customHeight="false" outlineLevel="0" collapsed="false">
      <c r="A12" s="5"/>
      <c r="B12" s="5"/>
      <c r="C12" s="5"/>
      <c r="D12" s="5"/>
      <c r="E12" s="5"/>
    </row>
    <row r="13" customFormat="false" ht="15" hidden="false" customHeight="false" outlineLevel="0" collapsed="false">
      <c r="A13" s="5"/>
      <c r="B13" s="36" t="s">
        <v>144</v>
      </c>
      <c r="C13" s="37" t="n">
        <f aca="false">SUM(Development_Budget!$C$5:$C$11)</f>
        <v>8208170.355</v>
      </c>
      <c r="D13" s="28" t="s">
        <v>145</v>
      </c>
      <c r="E13" s="5"/>
    </row>
    <row r="14" customFormat="false" ht="15" hidden="false" customHeight="false" outlineLevel="0" collapsed="false">
      <c r="A14" s="5"/>
      <c r="B14" s="5"/>
      <c r="C14" s="5"/>
      <c r="D14" s="5"/>
      <c r="E14" s="5"/>
    </row>
    <row r="15" customFormat="false" ht="15" hidden="false" customHeight="false" outlineLevel="0" collapsed="false">
      <c r="A15" s="5"/>
      <c r="B15" s="22" t="s">
        <v>146</v>
      </c>
      <c r="C15" s="23"/>
      <c r="D15" s="23"/>
      <c r="E15" s="23"/>
    </row>
    <row r="16" customFormat="false" ht="15" hidden="false" customHeight="false" outlineLevel="0" collapsed="false">
      <c r="A16" s="5"/>
      <c r="B16" s="7" t="s">
        <v>147</v>
      </c>
      <c r="C16" s="35" t="n">
        <f aca="false">LTC*(Development_Budget!$C$5+Development_Budget!$C$6+Development_Budget!$C$7+Development_Budget!$C$8+Development_Budget!$C$9+Development_Budget!$C$11)</f>
        <v>5224934</v>
      </c>
      <c r="D16" s="28" t="s">
        <v>148</v>
      </c>
      <c r="E16" s="5"/>
    </row>
    <row r="17" customFormat="false" ht="15" hidden="false" customHeight="false" outlineLevel="0" collapsed="false">
      <c r="A17" s="5"/>
      <c r="B17" s="7" t="s">
        <v>149</v>
      </c>
      <c r="C17" s="35" t="n">
        <f aca="false">DB_Total_Cost-DB_Loan_Amount</f>
        <v>2983236.355</v>
      </c>
      <c r="D17" s="28" t="s">
        <v>150</v>
      </c>
      <c r="E17" s="5"/>
    </row>
    <row r="18" customFormat="false" ht="15" hidden="false" customHeight="false" outlineLevel="0" collapsed="false">
      <c r="A18" s="5"/>
      <c r="B18" s="36" t="s">
        <v>151</v>
      </c>
      <c r="C18" s="37" t="n">
        <f aca="false">DB_Loan_Amount+DB_Equity</f>
        <v>8208170.355</v>
      </c>
      <c r="D18" s="28" t="s">
        <v>152</v>
      </c>
      <c r="E18" s="5"/>
    </row>
    <row r="19" customFormat="false" ht="15" hidden="false" customHeight="false" outlineLevel="0" collapsed="false">
      <c r="A19" s="5"/>
      <c r="B19" s="5"/>
      <c r="C19" s="5"/>
      <c r="D19" s="5"/>
      <c r="E19" s="5"/>
    </row>
    <row r="20" customFormat="false" ht="15" hidden="false" customHeight="false" outlineLevel="0" collapsed="false">
      <c r="A20" s="5"/>
      <c r="B20" s="38" t="s">
        <v>153</v>
      </c>
      <c r="C20" s="39" t="str">
        <f aca="false">IF(ABS(Development_Budget!$C$18-DB_Total_Cost)&lt;1,"PASS","FAIL")</f>
        <v>PASS</v>
      </c>
      <c r="D20" s="5"/>
      <c r="E20"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5"/>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1" t="s">
        <v>154</v>
      </c>
      <c r="C2" s="5"/>
      <c r="D2" s="5"/>
      <c r="E2" s="5"/>
      <c r="F2" s="5"/>
      <c r="G2" s="5"/>
      <c r="H2" s="5"/>
      <c r="I2" s="5"/>
    </row>
    <row r="3" customFormat="false" ht="15" hidden="false" customHeight="false" outlineLevel="0" collapsed="false">
      <c r="A3" s="5"/>
      <c r="B3" s="40" t="s">
        <v>155</v>
      </c>
      <c r="C3" s="41" t="s">
        <v>156</v>
      </c>
      <c r="D3" s="41" t="s">
        <v>157</v>
      </c>
      <c r="E3" s="41" t="s">
        <v>158</v>
      </c>
      <c r="F3" s="41" t="s">
        <v>159</v>
      </c>
      <c r="G3" s="41" t="s">
        <v>160</v>
      </c>
      <c r="H3" s="41" t="s">
        <v>161</v>
      </c>
      <c r="I3" s="41" t="s">
        <v>162</v>
      </c>
    </row>
    <row r="4" customFormat="false" ht="15" hidden="false" customHeight="false" outlineLevel="0" collapsed="false">
      <c r="A4" s="5"/>
      <c r="B4" s="28" t="s">
        <v>163</v>
      </c>
      <c r="C4" s="42" t="n">
        <v>1</v>
      </c>
      <c r="D4" s="42" t="n">
        <f aca="false">C4+1</f>
        <v>2</v>
      </c>
      <c r="E4" s="42" t="n">
        <f aca="false">D4+1</f>
        <v>3</v>
      </c>
      <c r="F4" s="42" t="n">
        <f aca="false">E4+1</f>
        <v>4</v>
      </c>
      <c r="G4" s="42" t="n">
        <f aca="false">F4+1</f>
        <v>5</v>
      </c>
      <c r="H4" s="42" t="n">
        <f aca="false">G4+1</f>
        <v>6</v>
      </c>
      <c r="I4" s="42" t="n">
        <f aca="false">H4+1</f>
        <v>7</v>
      </c>
    </row>
    <row r="5" customFormat="false" ht="15" hidden="false" customHeight="false" outlineLevel="0" collapsed="false">
      <c r="A5" s="5"/>
      <c r="B5" s="43" t="s">
        <v>164</v>
      </c>
      <c r="C5" s="44"/>
      <c r="D5" s="44"/>
      <c r="E5" s="44"/>
      <c r="F5" s="44"/>
      <c r="G5" s="44"/>
      <c r="H5" s="44"/>
      <c r="I5" s="44"/>
    </row>
    <row r="6" customFormat="false" ht="15" hidden="false" customHeight="false" outlineLevel="0" collapsed="false">
      <c r="A6" s="5"/>
      <c r="B6" s="45" t="s">
        <v>165</v>
      </c>
      <c r="C6" s="46" t="n">
        <f aca="false">MIN(Stab_Occupancy,(C4-0.5)*Leaseup_Velocity*12)</f>
        <v>0.18</v>
      </c>
      <c r="D6" s="46" t="n">
        <f aca="false">MIN(Stab_Occupancy,(D4-0.5)*Leaseup_Velocity*12)</f>
        <v>0.54</v>
      </c>
      <c r="E6" s="46" t="n">
        <f aca="false">MIN(Stab_Occupancy,(E4-0.5)*Leaseup_Velocity*12)</f>
        <v>0.9</v>
      </c>
      <c r="F6" s="46" t="n">
        <f aca="false">MIN(Stab_Occupancy,(F4-0.5)*Leaseup_Velocity*12)</f>
        <v>0.9</v>
      </c>
      <c r="G6" s="46" t="n">
        <f aca="false">MIN(Stab_Occupancy,(G4-0.5)*Leaseup_Velocity*12)</f>
        <v>0.9</v>
      </c>
      <c r="H6" s="46" t="n">
        <f aca="false">MIN(Stab_Occupancy,(H4-0.5)*Leaseup_Velocity*12)</f>
        <v>0.9</v>
      </c>
      <c r="I6" s="46" t="n">
        <f aca="false">MIN(Stab_Occupancy,(I4-0.5)*Leaseup_Velocity*12)</f>
        <v>0.9</v>
      </c>
    </row>
    <row r="7" customFormat="false" ht="15" hidden="false" customHeight="false" outlineLevel="0" collapsed="false">
      <c r="A7" s="5"/>
      <c r="B7" s="45" t="s">
        <v>166</v>
      </c>
      <c r="C7" s="35" t="n">
        <f aca="false">NRSF*Market_Rent_PSF*12</f>
        <v>1080000</v>
      </c>
      <c r="D7" s="35" t="n">
        <f aca="false">NRSF*Market_Rent_PSF*(1+Rent_Growth)^(D4-1)*12</f>
        <v>1112400</v>
      </c>
      <c r="E7" s="35" t="n">
        <f aca="false">NRSF*Market_Rent_PSF*(1+Rent_Growth)^(E4-1)*12</f>
        <v>1145772</v>
      </c>
      <c r="F7" s="35" t="n">
        <f aca="false">NRSF*Market_Rent_PSF*(1+Rent_Growth)^(F4-1)*12</f>
        <v>1180145.16</v>
      </c>
      <c r="G7" s="35" t="n">
        <f aca="false">NRSF*Market_Rent_PSF*(1+Rent_Growth)^(G4-1)*12</f>
        <v>1215549.5148</v>
      </c>
      <c r="H7" s="35" t="n">
        <f aca="false">NRSF*Market_Rent_PSF*(1+Rent_Growth)^(H4-1)*12</f>
        <v>1252016.000244</v>
      </c>
      <c r="I7" s="35" t="n">
        <f aca="false">NRSF*Market_Rent_PSF*(1+Rent_Growth)^(I4-1)*12</f>
        <v>1289576.48025132</v>
      </c>
    </row>
    <row r="8" customFormat="false" ht="15" hidden="false" customHeight="false" outlineLevel="0" collapsed="false">
      <c r="A8" s="5"/>
      <c r="B8" s="45" t="s">
        <v>167</v>
      </c>
      <c r="C8" s="35" t="n">
        <f aca="false">C7*C6*(1-Vac_Conc_Pct)</f>
        <v>184680</v>
      </c>
      <c r="D8" s="35" t="n">
        <f aca="false">D7*D6*(1-Vac_Conc_Pct)</f>
        <v>570661.2</v>
      </c>
      <c r="E8" s="35" t="n">
        <f aca="false">E7*E6*(1-Vac_Conc_Pct)</f>
        <v>979635.06</v>
      </c>
      <c r="F8" s="35" t="n">
        <f aca="false">F7*F6*(1-Vac_Conc_Pct)</f>
        <v>1009024.1118</v>
      </c>
      <c r="G8" s="35" t="n">
        <f aca="false">G7*G6*(1-Vac_Conc_Pct)</f>
        <v>1039294.835154</v>
      </c>
      <c r="H8" s="35" t="n">
        <f aca="false">H7*H6*(1-Vac_Conc_Pct)</f>
        <v>1070473.68020862</v>
      </c>
      <c r="I8" s="35" t="n">
        <f aca="false">I7*I6*(1-Vac_Conc_Pct)</f>
        <v>1102587.89061488</v>
      </c>
    </row>
    <row r="9" customFormat="false" ht="15" hidden="false" customHeight="false" outlineLevel="0" collapsed="false">
      <c r="A9" s="5"/>
      <c r="B9" s="45" t="s">
        <v>168</v>
      </c>
      <c r="C9" s="35" t="n">
        <f aca="false">(NRSF/Avg_Unit_Size)*C6*Ins_Penetration*Ins_Profit_PM*12</f>
        <v>6998.4</v>
      </c>
      <c r="D9" s="35" t="n">
        <f aca="false">(NRSF/Avg_Unit_Size)*D6*Ins_Penetration*Ins_Profit_PM*12</f>
        <v>20995.2</v>
      </c>
      <c r="E9" s="35" t="n">
        <f aca="false">(NRSF/Avg_Unit_Size)*E6*Ins_Penetration*Ins_Profit_PM*12</f>
        <v>34992</v>
      </c>
      <c r="F9" s="35" t="n">
        <f aca="false">(NRSF/Avg_Unit_Size)*F6*Ins_Penetration*Ins_Profit_PM*12</f>
        <v>34992</v>
      </c>
      <c r="G9" s="35" t="n">
        <f aca="false">(NRSF/Avg_Unit_Size)*G6*Ins_Penetration*Ins_Profit_PM*12</f>
        <v>34992</v>
      </c>
      <c r="H9" s="35" t="n">
        <f aca="false">(NRSF/Avg_Unit_Size)*H6*Ins_Penetration*Ins_Profit_PM*12</f>
        <v>34992</v>
      </c>
      <c r="I9" s="35" t="n">
        <f aca="false">(NRSF/Avg_Unit_Size)*I6*Ins_Penetration*Ins_Profit_PM*12</f>
        <v>34992</v>
      </c>
    </row>
    <row r="10" customFormat="false" ht="15" hidden="false" customHeight="false" outlineLevel="0" collapsed="false">
      <c r="A10" s="5"/>
      <c r="B10" s="45" t="s">
        <v>169</v>
      </c>
      <c r="C10" s="35" t="n">
        <f aca="false">C7*Ancil_Pct</f>
        <v>21600</v>
      </c>
      <c r="D10" s="35" t="n">
        <f aca="false">D7*Ancil_Pct</f>
        <v>22248</v>
      </c>
      <c r="E10" s="35" t="n">
        <f aca="false">E7*Ancil_Pct</f>
        <v>22915.44</v>
      </c>
      <c r="F10" s="35" t="n">
        <f aca="false">F7*Ancil_Pct</f>
        <v>23602.9032</v>
      </c>
      <c r="G10" s="35" t="n">
        <f aca="false">G7*Ancil_Pct</f>
        <v>24310.990296</v>
      </c>
      <c r="H10" s="35" t="n">
        <f aca="false">H7*Ancil_Pct</f>
        <v>25040.32000488</v>
      </c>
      <c r="I10" s="35" t="n">
        <f aca="false">I7*Ancil_Pct</f>
        <v>25791.5296050264</v>
      </c>
    </row>
    <row r="11" customFormat="false" ht="15" hidden="false" customHeight="false" outlineLevel="0" collapsed="false">
      <c r="A11" s="5"/>
      <c r="B11" s="47" t="s">
        <v>170</v>
      </c>
      <c r="C11" s="37" t="n">
        <f aca="false">C8+C9+C10</f>
        <v>213278.4</v>
      </c>
      <c r="D11" s="37" t="n">
        <f aca="false">D8+D9+D10</f>
        <v>613904.4</v>
      </c>
      <c r="E11" s="37" t="n">
        <f aca="false">E8+E9+E10</f>
        <v>1037542.5</v>
      </c>
      <c r="F11" s="37" t="n">
        <f aca="false">F8+F9+F10</f>
        <v>1067619.015</v>
      </c>
      <c r="G11" s="37" t="n">
        <f aca="false">G8+G9+G10</f>
        <v>1098597.82545</v>
      </c>
      <c r="H11" s="37" t="n">
        <f aca="false">H8+H9+H10</f>
        <v>1130506.0002135</v>
      </c>
      <c r="I11" s="37" t="n">
        <f aca="false">I8+I9+I10</f>
        <v>1163371.42021991</v>
      </c>
    </row>
    <row r="12" customFormat="false" ht="15" hidden="false" customHeight="false" outlineLevel="0" collapsed="false">
      <c r="A12" s="5"/>
      <c r="B12" s="43" t="s">
        <v>78</v>
      </c>
      <c r="C12" s="44"/>
      <c r="D12" s="44"/>
      <c r="E12" s="44"/>
      <c r="F12" s="44"/>
      <c r="G12" s="44"/>
      <c r="H12" s="44"/>
      <c r="I12" s="44"/>
    </row>
    <row r="13" customFormat="false" ht="15" hidden="false" customHeight="false" outlineLevel="0" collapsed="false">
      <c r="A13" s="5"/>
      <c r="B13" s="45" t="s">
        <v>171</v>
      </c>
      <c r="C13" s="35" t="n">
        <f aca="false">Opex_PSF*NRSF</f>
        <v>243000</v>
      </c>
      <c r="D13" s="35" t="n">
        <f aca="false">Opex_PSF*NRSF*(1+Opex_Growth)^(D4-1)</f>
        <v>249075</v>
      </c>
      <c r="E13" s="35" t="n">
        <f aca="false">Opex_PSF*NRSF*(1+Opex_Growth)^(E4-1)</f>
        <v>255301.875</v>
      </c>
      <c r="F13" s="35" t="n">
        <f aca="false">Opex_PSF*NRSF*(1+Opex_Growth)^(F4-1)</f>
        <v>261684.421875</v>
      </c>
      <c r="G13" s="35" t="n">
        <f aca="false">Opex_PSF*NRSF*(1+Opex_Growth)^(G4-1)</f>
        <v>268226.532421875</v>
      </c>
      <c r="H13" s="35" t="n">
        <f aca="false">Opex_PSF*NRSF*(1+Opex_Growth)^(H4-1)</f>
        <v>274932.195732422</v>
      </c>
      <c r="I13" s="35" t="n">
        <f aca="false">Opex_PSF*NRSF*(1+Opex_Growth)^(I4-1)</f>
        <v>281805.500625732</v>
      </c>
    </row>
    <row r="14" customFormat="false" ht="15" hidden="false" customHeight="false" outlineLevel="0" collapsed="false">
      <c r="A14" s="5"/>
      <c r="B14" s="45" t="s">
        <v>172</v>
      </c>
      <c r="C14" s="35" t="n">
        <f aca="false">C11*Mgmt_Fee_Pct</f>
        <v>12796.704</v>
      </c>
      <c r="D14" s="35" t="n">
        <f aca="false">D11*Mgmt_Fee_Pct</f>
        <v>36834.264</v>
      </c>
      <c r="E14" s="35" t="n">
        <f aca="false">E11*Mgmt_Fee_Pct</f>
        <v>62252.55</v>
      </c>
      <c r="F14" s="35" t="n">
        <f aca="false">F11*Mgmt_Fee_Pct</f>
        <v>64057.1409</v>
      </c>
      <c r="G14" s="35" t="n">
        <f aca="false">G11*Mgmt_Fee_Pct</f>
        <v>65915.869527</v>
      </c>
      <c r="H14" s="35" t="n">
        <f aca="false">H11*Mgmt_Fee_Pct</f>
        <v>67830.36001281</v>
      </c>
      <c r="I14" s="35" t="n">
        <f aca="false">I11*Mgmt_Fee_Pct</f>
        <v>69802.2852131943</v>
      </c>
    </row>
    <row r="15" customFormat="false" ht="15" hidden="false" customHeight="false" outlineLevel="0" collapsed="false">
      <c r="A15" s="5"/>
      <c r="B15" s="47" t="s">
        <v>173</v>
      </c>
      <c r="C15" s="37" t="n">
        <f aca="false">C13+C14</f>
        <v>255796.704</v>
      </c>
      <c r="D15" s="37" t="n">
        <f aca="false">D13+D14</f>
        <v>285909.264</v>
      </c>
      <c r="E15" s="37" t="n">
        <f aca="false">E13+E14</f>
        <v>317554.425</v>
      </c>
      <c r="F15" s="37" t="n">
        <f aca="false">F13+F14</f>
        <v>325741.562775</v>
      </c>
      <c r="G15" s="37" t="n">
        <f aca="false">G13+G14</f>
        <v>334142.401948875</v>
      </c>
      <c r="H15" s="37" t="n">
        <f aca="false">H13+H14</f>
        <v>342762.555745232</v>
      </c>
      <c r="I15" s="37" t="n">
        <f aca="false">I13+I14</f>
        <v>351607.785838927</v>
      </c>
    </row>
    <row r="16" customFormat="false" ht="15" hidden="false" customHeight="false" outlineLevel="0" collapsed="false">
      <c r="A16" s="5"/>
      <c r="B16" s="43" t="s">
        <v>174</v>
      </c>
      <c r="C16" s="44"/>
      <c r="D16" s="44"/>
      <c r="E16" s="44"/>
      <c r="F16" s="44"/>
      <c r="G16" s="44"/>
      <c r="H16" s="44"/>
      <c r="I16" s="44"/>
    </row>
    <row r="17" customFormat="false" ht="15" hidden="false" customHeight="false" outlineLevel="0" collapsed="false">
      <c r="A17" s="5"/>
      <c r="B17" s="47" t="s">
        <v>175</v>
      </c>
      <c r="C17" s="37" t="n">
        <f aca="false">C11-C15</f>
        <v>-42518.304</v>
      </c>
      <c r="D17" s="37" t="n">
        <f aca="false">D11-D15</f>
        <v>327995.136</v>
      </c>
      <c r="E17" s="37" t="n">
        <f aca="false">E11-E15</f>
        <v>719988.075</v>
      </c>
      <c r="F17" s="37" t="n">
        <f aca="false">F11-F15</f>
        <v>741877.452225</v>
      </c>
      <c r="G17" s="37" t="n">
        <f aca="false">G11-G15</f>
        <v>764455.423501125</v>
      </c>
      <c r="H17" s="37" t="n">
        <f aca="false">H11-H15</f>
        <v>787743.444468268</v>
      </c>
      <c r="I17" s="37" t="n">
        <f aca="false">I11-I15</f>
        <v>811763.634380978</v>
      </c>
    </row>
    <row r="18" customFormat="false" ht="15" hidden="false" customHeight="false" outlineLevel="0" collapsed="false">
      <c r="A18" s="5"/>
      <c r="B18" s="45" t="s">
        <v>176</v>
      </c>
      <c r="C18" s="46" t="n">
        <f aca="false">IF(C11=0,0,C17/C11)</f>
        <v>-0.199355884140166</v>
      </c>
      <c r="D18" s="46" t="n">
        <f aca="false">IF(D11=0,0,D17/D11)</f>
        <v>0.534277219710431</v>
      </c>
      <c r="E18" s="46" t="n">
        <f aca="false">IF(E11=0,0,E17/E11)</f>
        <v>0.693935983345261</v>
      </c>
      <c r="F18" s="46" t="n">
        <f aca="false">IF(F11=0,0,F17/F11)</f>
        <v>0.694889695482803</v>
      </c>
      <c r="G18" s="46" t="n">
        <f aca="false">IF(G11=0,0,G17/G11)</f>
        <v>0.695846474289164</v>
      </c>
      <c r="H18" s="46" t="n">
        <f aca="false">IF(H11=0,0,H17/H11)</f>
        <v>0.696806071192457</v>
      </c>
      <c r="I18" s="46" t="n">
        <f aca="false">IF(I11=0,0,I17/I11)</f>
        <v>0.69776824518135</v>
      </c>
    </row>
    <row r="19" customFormat="false" ht="15" hidden="false" customHeight="false" outlineLevel="0" collapsed="false">
      <c r="A19" s="5"/>
      <c r="B19" s="48" t="s">
        <v>177</v>
      </c>
      <c r="C19" s="49" t="n">
        <f aca="false">Hard_Cost_PSF*NRSF*0.8/39</f>
        <v>104615.384615385</v>
      </c>
      <c r="D19" s="49" t="n">
        <f aca="false">Hard_Cost_PSF*NRSF*0.8/39</f>
        <v>104615.384615385</v>
      </c>
      <c r="E19" s="49" t="n">
        <f aca="false">Hard_Cost_PSF*NRSF*0.8/39</f>
        <v>104615.384615385</v>
      </c>
      <c r="F19" s="49" t="n">
        <f aca="false">Hard_Cost_PSF*NRSF*0.8/39</f>
        <v>104615.384615385</v>
      </c>
      <c r="G19" s="49" t="n">
        <f aca="false">Hard_Cost_PSF*NRSF*0.8/39</f>
        <v>104615.384615385</v>
      </c>
      <c r="H19" s="49" t="n">
        <f aca="false">Hard_Cost_PSF*NRSF*0.8/39</f>
        <v>104615.384615385</v>
      </c>
      <c r="I19" s="49" t="n">
        <f aca="false">Hard_Cost_PSF*NRSF*0.8/39</f>
        <v>104615.384615385</v>
      </c>
    </row>
    <row r="20" customFormat="false" ht="15" hidden="false" customHeight="false" outlineLevel="0" collapsed="false">
      <c r="A20" s="5"/>
      <c r="B20" s="43" t="s">
        <v>178</v>
      </c>
      <c r="C20" s="44"/>
      <c r="D20" s="44"/>
      <c r="E20" s="44"/>
      <c r="F20" s="44"/>
      <c r="G20" s="44"/>
      <c r="H20" s="44"/>
      <c r="I20" s="44"/>
    </row>
    <row r="21" customFormat="false" ht="15" hidden="false" customHeight="false" outlineLevel="0" collapsed="false">
      <c r="A21" s="5"/>
      <c r="B21" s="45" t="s">
        <v>179</v>
      </c>
      <c r="C21" s="35" t="n">
        <f aca="false">Maint_Capex_PSF*NRSF</f>
        <v>9000</v>
      </c>
      <c r="D21" s="35" t="n">
        <f aca="false">Maint_Capex_PSF*NRSF*(1+Opex_Growth)^(D4-1)</f>
        <v>9225</v>
      </c>
      <c r="E21" s="35" t="n">
        <f aca="false">Maint_Capex_PSF*NRSF*(1+Opex_Growth)^(E4-1)</f>
        <v>9455.625</v>
      </c>
      <c r="F21" s="35" t="n">
        <f aca="false">Maint_Capex_PSF*NRSF*(1+Opex_Growth)^(F4-1)</f>
        <v>9692.015625</v>
      </c>
      <c r="G21" s="35" t="n">
        <f aca="false">Maint_Capex_PSF*NRSF*(1+Opex_Growth)^(G4-1)</f>
        <v>9934.316015625</v>
      </c>
      <c r="H21" s="35" t="n">
        <f aca="false">Maint_Capex_PSF*NRSF*(1+Opex_Growth)^(H4-1)</f>
        <v>10182.6739160156</v>
      </c>
      <c r="I21" s="35" t="n">
        <f aca="false">Maint_Capex_PSF*NRSF*(1+Opex_Growth)^(I4-1)</f>
        <v>10437.240763916</v>
      </c>
    </row>
    <row r="22" customFormat="false" ht="15" hidden="false" customHeight="false" outlineLevel="0" collapsed="false">
      <c r="A22" s="5"/>
      <c r="B22" s="47" t="s">
        <v>180</v>
      </c>
      <c r="C22" s="37" t="n">
        <f aca="false">C17-C21</f>
        <v>-51518.304</v>
      </c>
      <c r="D22" s="37" t="n">
        <f aca="false">D17-D21</f>
        <v>318770.136</v>
      </c>
      <c r="E22" s="37" t="n">
        <f aca="false">E17-E21</f>
        <v>710532.45</v>
      </c>
      <c r="F22" s="37" t="n">
        <f aca="false">F17-F21</f>
        <v>732185.4366</v>
      </c>
      <c r="G22" s="37" t="n">
        <f aca="false">G17-G21</f>
        <v>754521.1074855</v>
      </c>
      <c r="H22" s="37" t="n">
        <f aca="false">H17-H21</f>
        <v>777560.770552253</v>
      </c>
      <c r="I22" s="37" t="n">
        <f aca="false">I17-I21</f>
        <v>801326.393617062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9" min="3" style="0" width="15"/>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1" t="s">
        <v>181</v>
      </c>
      <c r="C2" s="5"/>
      <c r="D2" s="5"/>
      <c r="E2" s="5"/>
      <c r="F2" s="5"/>
      <c r="G2" s="5"/>
      <c r="H2" s="5"/>
      <c r="I2" s="5"/>
    </row>
    <row r="3" customFormat="false" ht="15" hidden="false" customHeight="false" outlineLevel="0" collapsed="false">
      <c r="A3" s="5"/>
      <c r="B3" s="40" t="s">
        <v>155</v>
      </c>
      <c r="C3" s="41" t="s">
        <v>156</v>
      </c>
      <c r="D3" s="41" t="s">
        <v>157</v>
      </c>
      <c r="E3" s="41" t="s">
        <v>158</v>
      </c>
      <c r="F3" s="41" t="s">
        <v>159</v>
      </c>
      <c r="G3" s="41" t="s">
        <v>160</v>
      </c>
      <c r="H3" s="41" t="s">
        <v>161</v>
      </c>
      <c r="I3" s="41" t="s">
        <v>162</v>
      </c>
    </row>
    <row r="4" customFormat="false" ht="15" hidden="false" customHeight="false" outlineLevel="0" collapsed="false">
      <c r="A4" s="5"/>
      <c r="B4" s="28" t="s">
        <v>163</v>
      </c>
      <c r="C4" s="42" t="n">
        <v>1</v>
      </c>
      <c r="D4" s="42" t="n">
        <f aca="false">C4+1</f>
        <v>2</v>
      </c>
      <c r="E4" s="42" t="n">
        <f aca="false">D4+1</f>
        <v>3</v>
      </c>
      <c r="F4" s="42" t="n">
        <f aca="false">E4+1</f>
        <v>4</v>
      </c>
      <c r="G4" s="42" t="n">
        <f aca="false">F4+1</f>
        <v>5</v>
      </c>
      <c r="H4" s="42" t="n">
        <f aca="false">G4+1</f>
        <v>6</v>
      </c>
      <c r="I4" s="42" t="n">
        <f aca="false">H4+1</f>
        <v>7</v>
      </c>
    </row>
    <row r="5" customFormat="false" ht="15" hidden="false" customHeight="false" outlineLevel="0" collapsed="false">
      <c r="A5" s="5"/>
      <c r="B5" s="43" t="s">
        <v>182</v>
      </c>
      <c r="C5" s="44"/>
      <c r="D5" s="44"/>
      <c r="E5" s="44"/>
      <c r="F5" s="44"/>
      <c r="G5" s="44"/>
      <c r="H5" s="44"/>
      <c r="I5" s="44"/>
    </row>
    <row r="6" customFormat="false" ht="15" hidden="false" customHeight="false" outlineLevel="0" collapsed="false">
      <c r="A6" s="5"/>
      <c r="B6" s="45" t="s">
        <v>183</v>
      </c>
      <c r="C6" s="35" t="n">
        <f aca="false">DB_Loan_Amount</f>
        <v>5224934</v>
      </c>
      <c r="D6" s="35" t="n">
        <f aca="false">C10</f>
        <v>5224934</v>
      </c>
      <c r="E6" s="35" t="n">
        <f aca="false">D10</f>
        <v>5224934</v>
      </c>
      <c r="F6" s="35" t="n">
        <f aca="false">E10</f>
        <v>5141205.16747575</v>
      </c>
      <c r="G6" s="35" t="n">
        <f aca="false">F10</f>
        <v>5058818.07771722</v>
      </c>
      <c r="H6" s="35" t="n">
        <f aca="false">G10</f>
        <v>4977751.22948529</v>
      </c>
      <c r="I6" s="35" t="n">
        <f aca="false">H10</f>
        <v>4897983.46609518</v>
      </c>
    </row>
    <row r="7" customFormat="false" ht="15" hidden="false" customHeight="false" outlineLevel="0" collapsed="false">
      <c r="A7" s="5"/>
      <c r="B7" s="45" t="s">
        <v>184</v>
      </c>
      <c r="C7" s="35" t="n">
        <f aca="false">C6*Interest_Rate</f>
        <v>339620.71</v>
      </c>
      <c r="D7" s="35" t="n">
        <f aca="false">D6*Interest_Rate</f>
        <v>339620.71</v>
      </c>
      <c r="E7" s="35" t="n">
        <f aca="false">E6*Interest_Rate</f>
        <v>339620.71</v>
      </c>
      <c r="F7" s="35" t="n">
        <f aca="false">F6*Interest_Rate</f>
        <v>334178.335885924</v>
      </c>
      <c r="G7" s="35" t="n">
        <f aca="false">G6*Interest_Rate</f>
        <v>328823.175051619</v>
      </c>
      <c r="H7" s="35" t="n">
        <f aca="false">H6*Interest_Rate</f>
        <v>323553.829916544</v>
      </c>
      <c r="I7" s="35" t="n">
        <f aca="false">I6*Interest_Rate</f>
        <v>318368.925296186</v>
      </c>
    </row>
    <row r="8" customFormat="false" ht="15" hidden="false" customHeight="false" outlineLevel="0" collapsed="false">
      <c r="A8" s="5"/>
      <c r="B8" s="45" t="s">
        <v>185</v>
      </c>
      <c r="C8" s="35" t="n">
        <f aca="false">IF(C4&lt;=IO_Period,0,-PMT(Interest_Rate/12,Amort_Period*12,C6)*12-C7)</f>
        <v>0</v>
      </c>
      <c r="D8" s="35" t="n">
        <f aca="false">IF(D4&lt;=IO_Period,0,-PMT(Interest_Rate/12,Amort_Period*12,D6)*12-D7)</f>
        <v>0</v>
      </c>
      <c r="E8" s="35" t="n">
        <f aca="false">IF(E4&lt;=IO_Period,0,-PMT(Interest_Rate/12,Amort_Period*12,E6)*12-E7)</f>
        <v>83728.8325242522</v>
      </c>
      <c r="F8" s="35" t="n">
        <f aca="false">IF(F4&lt;=IO_Period,0,-PMT(Interest_Rate/12,Amort_Period*12,F6)*12-F7)</f>
        <v>82387.0897585302</v>
      </c>
      <c r="G8" s="35" t="n">
        <f aca="false">IF(G4&lt;=IO_Period,0,-PMT(Interest_Rate/12,Amort_Period*12,G6)*12-G7)</f>
        <v>81066.8482319287</v>
      </c>
      <c r="H8" s="35" t="n">
        <f aca="false">IF(H4&lt;=IO_Period,0,-PMT(Interest_Rate/12,Amort_Period*12,H6)*12-H7)</f>
        <v>79767.7633901144</v>
      </c>
      <c r="I8" s="35" t="n">
        <f aca="false">IF(I4&lt;=IO_Period,0,-PMT(Interest_Rate/12,Amort_Period*12,I6)*12-I7)</f>
        <v>78489.4962001891</v>
      </c>
    </row>
    <row r="9" customFormat="false" ht="15" hidden="false" customHeight="false" outlineLevel="0" collapsed="false">
      <c r="A9" s="5"/>
      <c r="B9" s="47" t="s">
        <v>186</v>
      </c>
      <c r="C9" s="37" t="n">
        <f aca="false">C7+C8</f>
        <v>339620.71</v>
      </c>
      <c r="D9" s="37" t="n">
        <f aca="false">D7+D8</f>
        <v>339620.71</v>
      </c>
      <c r="E9" s="37" t="n">
        <f aca="false">E7+E8</f>
        <v>423349.542524252</v>
      </c>
      <c r="F9" s="37" t="n">
        <f aca="false">F7+F8</f>
        <v>416565.425644454</v>
      </c>
      <c r="G9" s="37" t="n">
        <f aca="false">G7+G8</f>
        <v>409890.023283548</v>
      </c>
      <c r="H9" s="37" t="n">
        <f aca="false">H7+H8</f>
        <v>403321.593306658</v>
      </c>
      <c r="I9" s="37" t="n">
        <f aca="false">I7+I8</f>
        <v>396858.421496375</v>
      </c>
    </row>
    <row r="10" customFormat="false" ht="15" hidden="false" customHeight="false" outlineLevel="0" collapsed="false">
      <c r="A10" s="5"/>
      <c r="B10" s="50" t="s">
        <v>187</v>
      </c>
      <c r="C10" s="51" t="n">
        <f aca="false">C6-C8</f>
        <v>5224934</v>
      </c>
      <c r="D10" s="51" t="n">
        <f aca="false">D6-D8</f>
        <v>5224934</v>
      </c>
      <c r="E10" s="51" t="n">
        <f aca="false">E6-E8</f>
        <v>5141205.16747575</v>
      </c>
      <c r="F10" s="51" t="n">
        <f aca="false">F6-F8</f>
        <v>5058818.07771722</v>
      </c>
      <c r="G10" s="51" t="n">
        <f aca="false">G6-G8</f>
        <v>4977751.22948529</v>
      </c>
      <c r="H10" s="51" t="n">
        <f aca="false">H6-H8</f>
        <v>4897983.46609518</v>
      </c>
      <c r="I10" s="51" t="n">
        <f aca="false">I6-I8</f>
        <v>4819493.96989499</v>
      </c>
    </row>
    <row r="11" customFormat="false" ht="15" hidden="false" customHeight="false" outlineLevel="0" collapsed="false">
      <c r="A11" s="5"/>
      <c r="B11" s="43" t="s">
        <v>188</v>
      </c>
      <c r="C11" s="44"/>
      <c r="D11" s="44"/>
      <c r="E11" s="44"/>
      <c r="F11" s="44"/>
      <c r="G11" s="44"/>
      <c r="H11" s="44"/>
      <c r="I11" s="44"/>
    </row>
    <row r="12" customFormat="false" ht="15" hidden="false" customHeight="false" outlineLevel="0" collapsed="false">
      <c r="A12" s="5"/>
      <c r="B12" s="45" t="s">
        <v>189</v>
      </c>
      <c r="C12" s="52" t="n">
        <f aca="false">IF(C9=0,"N/A",OC_NOI_Y1/C9)</f>
        <v>-0.125193496003233</v>
      </c>
      <c r="D12" s="52" t="n">
        <f aca="false">IF(D9=0,"N/A",OC_NOI_Y2/D9)</f>
        <v>0.965768948542625</v>
      </c>
      <c r="E12" s="52" t="n">
        <f aca="false">IF(E9=0,"N/A",OC_NOI_Y3/E9)</f>
        <v>1.70069411367972</v>
      </c>
      <c r="F12" s="52" t="n">
        <f aca="false">IF(F9=0,"N/A",OC_NOI_Y4/F9)</f>
        <v>1.78093861505013</v>
      </c>
      <c r="G12" s="52" t="n">
        <f aca="false">IF(G9=0,"N/A",OC_NOI_Y5/G9)</f>
        <v>1.86502569000637</v>
      </c>
      <c r="H12" s="52" t="n">
        <f aca="false">IF(H9=0,"N/A",OC_NOI_Y6/H9)</f>
        <v>1.95313977119326</v>
      </c>
      <c r="I12" s="52" t="n">
        <f aca="false">IF(I9=0,"N/A",OC_NOI_Y7/I9)</f>
        <v>2.04547412984253</v>
      </c>
    </row>
    <row r="13" customFormat="false" ht="15" hidden="false" customHeight="false" outlineLevel="0" collapsed="false">
      <c r="A13" s="5"/>
      <c r="B13" s="45" t="s">
        <v>190</v>
      </c>
      <c r="C13" s="46" t="n">
        <f aca="false">IF(C6=0,"N/A",OC_NOI_Y1/C6)</f>
        <v>-0.00813757724021012</v>
      </c>
      <c r="D13" s="46" t="n">
        <f aca="false">IF(D6=0,"N/A",OC_NOI_Y2/D6)</f>
        <v>0.0627749816552707</v>
      </c>
      <c r="E13" s="46" t="n">
        <f aca="false">IF(E6=0,"N/A",OC_NOI_Y3/E6)</f>
        <v>0.137798501378199</v>
      </c>
      <c r="F13" s="46" t="n">
        <f aca="false">IF(F6=0,"N/A",OC_NOI_Y4/F6)</f>
        <v>0.144300300816287</v>
      </c>
      <c r="G13" s="46" t="n">
        <f aca="false">IF(G6=0,"N/A",OC_NOI_Y5/G6)</f>
        <v>0.151113444238755</v>
      </c>
      <c r="H13" s="46" t="n">
        <f aca="false">IF(H6=0,"N/A",OC_NOI_Y6/H6)</f>
        <v>0.15825287527471</v>
      </c>
      <c r="I13" s="46" t="n">
        <f aca="false">IF(I6=0,"N/A",OC_NOI_Y7/I6)</f>
        <v>0.165734253698521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J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10" min="3" style="0" width="15"/>
  </cols>
  <sheetData>
    <row r="1" customFormat="false" ht="15" hidden="false" customHeight="false" outlineLevel="0" collapsed="false">
      <c r="A1" s="5"/>
      <c r="B1" s="5"/>
      <c r="C1" s="5"/>
      <c r="D1" s="5"/>
      <c r="E1" s="5"/>
      <c r="F1" s="5"/>
      <c r="G1" s="5"/>
      <c r="H1" s="5"/>
      <c r="I1" s="5"/>
      <c r="J1" s="5"/>
    </row>
    <row r="2" customFormat="false" ht="22.05" hidden="false" customHeight="false" outlineLevel="0" collapsed="false">
      <c r="A2" s="5"/>
      <c r="B2" s="21" t="s">
        <v>17</v>
      </c>
      <c r="C2" s="5"/>
      <c r="D2" s="5"/>
      <c r="E2" s="5"/>
      <c r="F2" s="5"/>
      <c r="G2" s="5"/>
      <c r="H2" s="5"/>
      <c r="I2" s="5"/>
      <c r="J2" s="5"/>
    </row>
    <row r="3" customFormat="false" ht="15" hidden="false" customHeight="false" outlineLevel="0" collapsed="false">
      <c r="A3" s="5"/>
      <c r="B3" s="40" t="s">
        <v>155</v>
      </c>
      <c r="C3" s="41" t="s">
        <v>191</v>
      </c>
      <c r="D3" s="41" t="s">
        <v>156</v>
      </c>
      <c r="E3" s="41" t="s">
        <v>157</v>
      </c>
      <c r="F3" s="41" t="s">
        <v>158</v>
      </c>
      <c r="G3" s="41" t="s">
        <v>159</v>
      </c>
      <c r="H3" s="41" t="s">
        <v>160</v>
      </c>
      <c r="I3" s="41" t="s">
        <v>161</v>
      </c>
      <c r="J3" s="41" t="s">
        <v>162</v>
      </c>
    </row>
    <row r="4" customFormat="false" ht="15" hidden="false" customHeight="false" outlineLevel="0" collapsed="false">
      <c r="A4" s="5"/>
      <c r="B4" s="28" t="s">
        <v>163</v>
      </c>
      <c r="C4" s="42" t="n">
        <v>0</v>
      </c>
      <c r="D4" s="42" t="n">
        <f aca="false">C4+1</f>
        <v>1</v>
      </c>
      <c r="E4" s="42" t="n">
        <f aca="false">D4+1</f>
        <v>2</v>
      </c>
      <c r="F4" s="42" t="n">
        <f aca="false">E4+1</f>
        <v>3</v>
      </c>
      <c r="G4" s="42" t="n">
        <f aca="false">F4+1</f>
        <v>4</v>
      </c>
      <c r="H4" s="42" t="n">
        <f aca="false">G4+1</f>
        <v>5</v>
      </c>
      <c r="I4" s="42" t="n">
        <f aca="false">H4+1</f>
        <v>6</v>
      </c>
      <c r="J4" s="42" t="n">
        <f aca="false">I4+1</f>
        <v>7</v>
      </c>
    </row>
    <row r="5" customFormat="false" ht="15" hidden="false" customHeight="false" outlineLevel="0" collapsed="false">
      <c r="A5" s="5"/>
      <c r="B5" s="43" t="s">
        <v>192</v>
      </c>
      <c r="C5" s="44"/>
      <c r="D5" s="44"/>
      <c r="E5" s="44"/>
      <c r="F5" s="44"/>
      <c r="G5" s="44"/>
      <c r="H5" s="44"/>
      <c r="I5" s="44"/>
      <c r="J5" s="44"/>
    </row>
    <row r="6" customFormat="false" ht="15" hidden="false" customHeight="false" outlineLevel="0" collapsed="false">
      <c r="A6" s="5"/>
      <c r="B6" s="7" t="s">
        <v>193</v>
      </c>
      <c r="C6" s="5"/>
      <c r="D6" s="5"/>
      <c r="E6" s="5"/>
      <c r="F6" s="5"/>
      <c r="G6" s="5"/>
      <c r="H6" s="5"/>
      <c r="I6" s="5"/>
      <c r="J6" s="35" t="n">
        <f aca="false">OC_NOI_Y7*(1+Rent_Growth)</f>
        <v>836116.543412408</v>
      </c>
    </row>
    <row r="7" customFormat="false" ht="15" hidden="false" customHeight="false" outlineLevel="0" collapsed="false">
      <c r="A7" s="5"/>
      <c r="B7" s="7" t="s">
        <v>194</v>
      </c>
      <c r="C7" s="5"/>
      <c r="D7" s="5"/>
      <c r="E7" s="5"/>
      <c r="F7" s="5"/>
      <c r="G7" s="5"/>
      <c r="H7" s="5"/>
      <c r="I7" s="5"/>
      <c r="J7" s="35" t="n">
        <f aca="false">Returns!$J$6/Exit_Cap_Rate</f>
        <v>13935275.7235401</v>
      </c>
    </row>
    <row r="8" customFormat="false" ht="15" hidden="false" customHeight="false" outlineLevel="0" collapsed="false">
      <c r="A8" s="5"/>
      <c r="B8" s="7" t="s">
        <v>195</v>
      </c>
      <c r="C8" s="5"/>
      <c r="D8" s="5"/>
      <c r="E8" s="5"/>
      <c r="F8" s="5"/>
      <c r="G8" s="5"/>
      <c r="H8" s="5"/>
      <c r="I8" s="5"/>
      <c r="J8" s="35" t="n">
        <f aca="false">-Returns!$J$7*Cost_of_Sale</f>
        <v>-278705.514470803</v>
      </c>
    </row>
    <row r="9" customFormat="false" ht="15" hidden="false" customHeight="false" outlineLevel="0" collapsed="false">
      <c r="A9" s="5"/>
      <c r="B9" s="7" t="s">
        <v>196</v>
      </c>
      <c r="C9" s="5"/>
      <c r="D9" s="5"/>
      <c r="E9" s="5"/>
      <c r="F9" s="5"/>
      <c r="G9" s="5"/>
      <c r="H9" s="5"/>
      <c r="I9" s="5"/>
      <c r="J9" s="35" t="n">
        <f aca="false">-DS_Closing_Y7</f>
        <v>-4819493.96989499</v>
      </c>
    </row>
    <row r="10" customFormat="false" ht="15" hidden="false" customHeight="false" outlineLevel="0" collapsed="false">
      <c r="A10" s="5"/>
      <c r="B10" s="36" t="s">
        <v>197</v>
      </c>
      <c r="C10" s="5"/>
      <c r="D10" s="5"/>
      <c r="E10" s="5"/>
      <c r="F10" s="5"/>
      <c r="G10" s="5"/>
      <c r="H10" s="5"/>
      <c r="I10" s="5"/>
      <c r="J10" s="37" t="n">
        <f aca="false">Returns!$J$7+Returns!$J$8+Returns!$J$9</f>
        <v>8837076.23917434</v>
      </c>
    </row>
    <row r="11" customFormat="false" ht="15" hidden="false" customHeight="false" outlineLevel="0" collapsed="false">
      <c r="A11" s="5"/>
      <c r="B11" s="43" t="s">
        <v>198</v>
      </c>
      <c r="C11" s="44"/>
      <c r="D11" s="44"/>
      <c r="E11" s="44"/>
      <c r="F11" s="44"/>
      <c r="G11" s="44"/>
      <c r="H11" s="44"/>
      <c r="I11" s="44"/>
      <c r="J11" s="44"/>
    </row>
    <row r="12" customFormat="false" ht="15" hidden="false" customHeight="false" outlineLevel="0" collapsed="false">
      <c r="A12" s="5"/>
      <c r="B12" s="38" t="s">
        <v>199</v>
      </c>
      <c r="C12" s="35" t="n">
        <f aca="false">-DB_Total_Cost</f>
        <v>-8208170.355</v>
      </c>
      <c r="D12" s="35" t="n">
        <f aca="false">Operating_CF!$C$22</f>
        <v>-51518.304</v>
      </c>
      <c r="E12" s="35" t="n">
        <f aca="false">Operating_CF!$D$22</f>
        <v>318770.136</v>
      </c>
      <c r="F12" s="35" t="n">
        <f aca="false">Operating_CF!$E$22</f>
        <v>710532.45</v>
      </c>
      <c r="G12" s="35" t="n">
        <f aca="false">Operating_CF!$F$22</f>
        <v>732185.4366</v>
      </c>
      <c r="H12" s="35" t="n">
        <f aca="false">Operating_CF!$G$22</f>
        <v>754521.1074855</v>
      </c>
      <c r="I12" s="35" t="n">
        <f aca="false">Operating_CF!$H$22</f>
        <v>777560.770552253</v>
      </c>
      <c r="J12" s="35" t="n">
        <f aca="false">Operating_CF!$I$22+Returns!$J$10</f>
        <v>9638402.6327914</v>
      </c>
    </row>
    <row r="13" customFormat="false" ht="15" hidden="false" customHeight="false" outlineLevel="0" collapsed="false">
      <c r="A13" s="5"/>
      <c r="B13" s="38" t="s">
        <v>200</v>
      </c>
      <c r="C13" s="35" t="n">
        <f aca="false">-DB_Equity</f>
        <v>-2983236.355</v>
      </c>
      <c r="D13" s="35" t="n">
        <f aca="false">Operating_CF!$C$22-Debt_Schedule!$C$9</f>
        <v>-391139.014</v>
      </c>
      <c r="E13" s="35" t="n">
        <f aca="false">Operating_CF!$D$22-Debt_Schedule!$D$9</f>
        <v>-20850.5740000001</v>
      </c>
      <c r="F13" s="35" t="n">
        <f aca="false">Operating_CF!$E$22-Debt_Schedule!$E$9</f>
        <v>287182.907475748</v>
      </c>
      <c r="G13" s="35" t="n">
        <f aca="false">Operating_CF!$F$22-Debt_Schedule!$F$9</f>
        <v>315620.010955546</v>
      </c>
      <c r="H13" s="35" t="n">
        <f aca="false">Operating_CF!$G$22-Debt_Schedule!$G$9</f>
        <v>344631.084201952</v>
      </c>
      <c r="I13" s="35" t="n">
        <f aca="false">Operating_CF!$H$22-Debt_Schedule!$H$9</f>
        <v>374239.177245594</v>
      </c>
      <c r="J13" s="35" t="n">
        <f aca="false">Operating_CF!$I$22-Debt_Schedule!$I$9+Returns!$J$10</f>
        <v>9241544.21129503</v>
      </c>
    </row>
    <row r="14" customFormat="false" ht="15" hidden="false" customHeight="false" outlineLevel="0" collapsed="false">
      <c r="A14" s="5"/>
      <c r="B14" s="5"/>
      <c r="C14" s="5"/>
      <c r="D14" s="5"/>
      <c r="E14" s="5"/>
      <c r="F14" s="5"/>
      <c r="G14" s="5"/>
      <c r="H14" s="5"/>
      <c r="I14" s="5"/>
      <c r="J14" s="5"/>
    </row>
    <row r="15" customFormat="false" ht="15" hidden="false" customHeight="false" outlineLevel="0" collapsed="false">
      <c r="A15" s="5"/>
      <c r="B15" s="43" t="s">
        <v>201</v>
      </c>
      <c r="C15" s="44"/>
      <c r="D15" s="44"/>
      <c r="E15" s="44"/>
      <c r="F15" s="44"/>
      <c r="G15" s="44"/>
      <c r="H15" s="44"/>
      <c r="I15" s="44"/>
      <c r="J15" s="44"/>
    </row>
    <row r="16" customFormat="false" ht="15" hidden="false" customHeight="false" outlineLevel="0" collapsed="false">
      <c r="A16" s="5"/>
      <c r="B16" s="38" t="s">
        <v>202</v>
      </c>
      <c r="C16" s="53" t="n">
        <f aca="false">IFERROR(IRR(Returns!$C$12:$J$12,0.1),"#")</f>
        <v>0.0745546666145457</v>
      </c>
      <c r="D16" s="5"/>
      <c r="E16" s="5"/>
      <c r="F16" s="5"/>
      <c r="G16" s="5"/>
      <c r="H16" s="5"/>
      <c r="I16" s="5"/>
      <c r="J16" s="5"/>
    </row>
    <row r="17" customFormat="false" ht="15" hidden="false" customHeight="false" outlineLevel="0" collapsed="false">
      <c r="A17" s="5"/>
      <c r="B17" s="38" t="s">
        <v>203</v>
      </c>
      <c r="C17" s="53" t="n">
        <f aca="false">IFERROR(IRR(Returns!$C$13:$J$13,0.15),"#")</f>
        <v>0.190673213204542</v>
      </c>
      <c r="D17" s="5"/>
      <c r="E17" s="5"/>
      <c r="F17" s="5"/>
      <c r="G17" s="5"/>
      <c r="H17" s="5"/>
      <c r="I17" s="5"/>
      <c r="J17" s="5"/>
    </row>
    <row r="18" customFormat="false" ht="15" hidden="false" customHeight="false" outlineLevel="0" collapsed="false">
      <c r="A18" s="5"/>
      <c r="B18" s="38" t="s">
        <v>204</v>
      </c>
      <c r="C18" s="54" t="n">
        <f aca="false">IFERROR(SUM(Returns!$D$13:$J$13)/(-Returns!$C$13),"#")</f>
        <v>3.40275680341589</v>
      </c>
      <c r="D18" s="5"/>
      <c r="E18" s="5"/>
      <c r="F18" s="5"/>
      <c r="G18" s="5"/>
      <c r="H18" s="5"/>
      <c r="I18" s="5"/>
      <c r="J18" s="5"/>
    </row>
    <row r="19" customFormat="false" ht="15" hidden="false" customHeight="false" outlineLevel="0" collapsed="false">
      <c r="A19" s="5"/>
      <c r="B19" s="38" t="s">
        <v>205</v>
      </c>
      <c r="C19" s="53" t="n">
        <f aca="false">IFERROR(OC_Stab_NOI/DB_Total_Cost,"#")</f>
        <v>0.0877160248704414</v>
      </c>
      <c r="D19" s="5"/>
      <c r="E19" s="5"/>
      <c r="F19" s="5"/>
      <c r="G19" s="5"/>
      <c r="H19" s="5"/>
      <c r="I19" s="5"/>
      <c r="J19"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F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22"/>
    <col collapsed="false" customWidth="true" hidden="false" outlineLevel="0" max="4" min="4" style="0" width="24"/>
    <col collapsed="false" customWidth="true" hidden="false" outlineLevel="0" max="5" min="5" style="0" width="10"/>
  </cols>
  <sheetData>
    <row r="1" customFormat="false" ht="15" hidden="false" customHeight="false" outlineLevel="0" collapsed="false">
      <c r="A1" s="5"/>
      <c r="B1" s="5"/>
      <c r="C1" s="5"/>
      <c r="D1" s="5"/>
      <c r="E1" s="5"/>
      <c r="F1" s="5"/>
    </row>
    <row r="2" customFormat="false" ht="22.05" hidden="false" customHeight="false" outlineLevel="0" collapsed="false">
      <c r="A2" s="5"/>
      <c r="B2" s="21" t="s">
        <v>206</v>
      </c>
      <c r="C2" s="5"/>
      <c r="D2" s="5"/>
      <c r="E2" s="5"/>
      <c r="F2" s="5"/>
    </row>
    <row r="3" customFormat="false" ht="15" hidden="false" customHeight="false" outlineLevel="0" collapsed="false">
      <c r="A3" s="5"/>
      <c r="B3" s="22" t="s">
        <v>207</v>
      </c>
      <c r="C3" s="23"/>
      <c r="D3" s="23"/>
      <c r="E3" s="23"/>
      <c r="F3" s="23"/>
    </row>
    <row r="4" customFormat="false" ht="15" hidden="false" customHeight="false" outlineLevel="0" collapsed="false">
      <c r="A4" s="5"/>
      <c r="B4" s="24" t="s">
        <v>208</v>
      </c>
      <c r="C4" s="25" t="s">
        <v>46</v>
      </c>
      <c r="D4" s="25" t="s">
        <v>209</v>
      </c>
      <c r="E4" s="25" t="s">
        <v>210</v>
      </c>
      <c r="F4" s="5"/>
    </row>
    <row r="5" customFormat="false" ht="15" hidden="false" customHeight="false" outlineLevel="0" collapsed="false">
      <c r="A5" s="5"/>
      <c r="B5" s="7" t="s">
        <v>211</v>
      </c>
      <c r="C5" s="35" t="n">
        <f aca="false">ABS(DB_Loan_Amount+DB_Equity-DB_Total_Cost)</f>
        <v>0</v>
      </c>
      <c r="D5" s="27" t="s">
        <v>212</v>
      </c>
      <c r="E5" s="39" t="str">
        <f aca="false">IF(C5&lt;1,"PASS","FAIL")</f>
        <v>PASS</v>
      </c>
      <c r="F5" s="5"/>
    </row>
    <row r="6" customFormat="false" ht="15" hidden="false" customHeight="false" outlineLevel="0" collapsed="false">
      <c r="A6" s="5"/>
      <c r="B6" s="7" t="s">
        <v>213</v>
      </c>
      <c r="C6" s="55" t="n">
        <f aca="false">NRSF</f>
        <v>60000</v>
      </c>
      <c r="D6" s="42" t="n">
        <f aca="false">NRSF</f>
        <v>60000</v>
      </c>
      <c r="E6" s="39" t="str">
        <f aca="false">IF(C6=D6,"PASS","FAIL")</f>
        <v>PASS</v>
      </c>
      <c r="F6" s="5"/>
    </row>
    <row r="7" customFormat="false" ht="15" hidden="false" customHeight="false" outlineLevel="0" collapsed="false">
      <c r="A7" s="5"/>
      <c r="B7" s="7" t="s">
        <v>214</v>
      </c>
      <c r="C7" s="52" t="n">
        <f aca="false">MIN(Debt_Schedule!$E$12,Debt_Schedule!$F$12,Debt_Schedule!$G$12,Debt_Schedule!$H$12,Debt_Schedule!$I$12)</f>
        <v>1.70069411367972</v>
      </c>
      <c r="D7" s="27" t="s">
        <v>215</v>
      </c>
      <c r="E7" s="39" t="str">
        <f aca="false">IF(C7&gt;=1.25,"PASS","FAIL")</f>
        <v>PASS</v>
      </c>
      <c r="F7" s="5"/>
    </row>
    <row r="8" customFormat="false" ht="15" hidden="false" customHeight="false" outlineLevel="0" collapsed="false">
      <c r="A8" s="5"/>
      <c r="B8" s="7" t="s">
        <v>216</v>
      </c>
      <c r="C8" s="46" t="n">
        <f aca="false">RT_YOC-Exit_Cap_Rate</f>
        <v>0.0277160248704414</v>
      </c>
      <c r="D8" s="27" t="s">
        <v>217</v>
      </c>
      <c r="E8" s="39" t="str">
        <f aca="false">IF(C8&gt;0,"PASS","FAIL")</f>
        <v>PASS</v>
      </c>
      <c r="F8" s="5"/>
    </row>
    <row r="9" customFormat="false" ht="15" hidden="false" customHeight="false" outlineLevel="0" collapsed="false">
      <c r="A9" s="5"/>
      <c r="B9" s="7" t="s">
        <v>218</v>
      </c>
      <c r="C9" s="46" t="n">
        <f aca="false">RT_Lev_IRR-RT_Unlev_IRR</f>
        <v>0.116118546589997</v>
      </c>
      <c r="D9" s="27" t="s">
        <v>217</v>
      </c>
      <c r="E9" s="39" t="str">
        <f aca="false">IF(AND(ISNUMBER(C9),C9&gt;0),"PASS","FAIL")</f>
        <v>PASS</v>
      </c>
      <c r="F9" s="5"/>
    </row>
    <row r="10" customFormat="false" ht="15" hidden="false" customHeight="false" outlineLevel="0" collapsed="false">
      <c r="A10" s="5"/>
      <c r="B10" s="7" t="s">
        <v>219</v>
      </c>
      <c r="C10" s="46" t="n">
        <f aca="false">MAX(Operating_CF!$C$6,Operating_CF!$D$6,Operating_CF!$E$6,Operating_CF!$F$6,Operating_CF!$G$6,Operating_CF!$H$6,Operating_CF!$I$6)</f>
        <v>0.9</v>
      </c>
      <c r="D10" s="27" t="s">
        <v>220</v>
      </c>
      <c r="E10" s="39" t="str">
        <f aca="false">IF(C10&lt;=Stab_Occupancy,"PASS","FAIL")</f>
        <v>PASS</v>
      </c>
      <c r="F10" s="5"/>
    </row>
    <row r="11" customFormat="false" ht="15" hidden="false" customHeight="false" outlineLevel="0" collapsed="false">
      <c r="A11" s="5"/>
      <c r="B11" s="7" t="s">
        <v>221</v>
      </c>
      <c r="C11" s="35" t="n">
        <f aca="false">Op_Shortfall_Reserve-(MAX(0,DS_TotalDS_Y1-OC_NOI_Y1)+MAX(0,DS_TotalDS_Y2-OC_NOI_Y2))</f>
        <v>6235.4119999999</v>
      </c>
      <c r="D11" s="27" t="s">
        <v>222</v>
      </c>
      <c r="E11" s="39" t="str">
        <f aca="false">IF(C11&gt;=0,"PASS","FAIL")</f>
        <v>PASS</v>
      </c>
      <c r="F11" s="5"/>
    </row>
    <row r="12" customFormat="false" ht="15" hidden="false" customHeight="false" outlineLevel="0" collapsed="false">
      <c r="A12" s="5"/>
      <c r="B12" s="7" t="s">
        <v>223</v>
      </c>
      <c r="C12" s="35" t="n">
        <f aca="false">Returns!$J$6</f>
        <v>836116.543412408</v>
      </c>
      <c r="D12" s="56" t="n">
        <f aca="false">OC_NOI_Y7*(1+Rent_Growth)</f>
        <v>836116.543412408</v>
      </c>
      <c r="E12" s="39" t="str">
        <f aca="false">IF(ABS(C12-D12)&lt;1,"PASS","FAIL")</f>
        <v>PASS</v>
      </c>
      <c r="F12"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2026-05-15T18:53:49Z</dcterms:created>
  <dc:creator>openpyxl</dc:creator>
  <dc:description/>
  <dc:language>en-GB</dc:language>
  <cp:lastModifiedBy/>
  <dcterms:modified xsi:type="dcterms:W3CDTF">2026-05-15T18:53:49Z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