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Disclaimer" sheetId="3" state="visible" r:id="rId5"/>
    <sheet name="Asset_Allocation" sheetId="4" state="visible" r:id="rId6"/>
    <sheet name="Contributions" sheetId="5" state="visible" r:id="rId7"/>
    <sheet name="Investment_Returns" sheetId="6" state="visible" r:id="rId8"/>
    <sheet name="Fee_Schedule" sheetId="7" state="visible" r:id="rId9"/>
    <sheet name="Fiscal_Transfers" sheetId="8" state="visible" r:id="rId10"/>
    <sheet name="AUM_Rollforward" sheetId="9" state="visible" r:id="rId11"/>
    <sheet name="Rebalancing" sheetId="10" state="visible" r:id="rId12"/>
    <sheet name="Fund_Performance" sheetId="11" state="visible" r:id="rId13"/>
    <sheet name="Checks" sheetId="12" state="visible" r:id="rId14"/>
  </sheets>
  <definedNames>
    <definedName function="false" hidden="false" name="AA_Weighted_Return" vbProcedure="false">Asset_Allocation!$C$23</definedName>
    <definedName function="false" hidden="false" name="AR_Beg_AUM" vbProcedure="false">AUM_Rollforward!$C$6:$L$6</definedName>
    <definedName function="false" hidden="false" name="AR_Contributions" vbProcedure="false">AUM_Rollforward!$C$8:$L$8</definedName>
    <definedName function="false" hidden="false" name="AR_End_AUM" vbProcedure="false">AUM_Rollforward!$C$16:$L$16</definedName>
    <definedName function="false" hidden="false" name="AR_Fees" vbProcedure="false">AUM_Rollforward!$C$10:$L$10</definedName>
    <definedName function="false" hidden="false" name="AR_Fiscal" vbProcedure="false">AUM_Rollforward!$C$12:$L$12</definedName>
    <definedName function="false" hidden="false" name="AR_Gross_Ret" vbProcedure="false">AUM_Rollforward!$C$9:$L$9</definedName>
    <definedName function="false" hidden="false" name="AR_Net_Flow" vbProcedure="false">AUM_Rollforward!$C$14:$L$14</definedName>
    <definedName function="false" hidden="false" name="AR_Net_Ret" vbProcedure="false">AUM_Rollforward!$C$11:$L$11</definedName>
    <definedName function="false" hidden="false" name="Carry_Pct" vbProcedure="false">Assumptions!$C$43</definedName>
    <definedName function="false" hidden="false" name="CT_Total_Contrib" vbProcedure="false">Contributions!$C$16:$L$16</definedName>
    <definedName function="false" hidden="false" name="Fee_Cash" vbProcedure="false">Assumptions!$C$39</definedName>
    <definedName function="false" hidden="false" name="Fee_FI" vbProcedure="false">Assumptions!$C$35</definedName>
    <definedName function="false" hidden="false" name="Fee_Infra" vbProcedure="false">Assumptions!$C$38</definedName>
    <definedName function="false" hidden="false" name="Fee_PE" vbProcedure="false">Assumptions!$C$36</definedName>
    <definedName function="false" hidden="false" name="Fee_Pub_Eq" vbProcedure="false">Assumptions!$C$34</definedName>
    <definedName function="false" hidden="false" name="Fee_RE" vbProcedure="false">Assumptions!$C$37</definedName>
    <definedName function="false" hidden="false" name="FS_TER" vbProcedure="false">Fee_Schedule!$C$26:$L$26</definedName>
    <definedName function="false" hidden="false" name="FS_Total_Fees" vbProcedure="false">Fee_Schedule!$C$24:$L$24</definedName>
    <definedName function="false" hidden="false" name="FT_Total_Transfer" vbProcedure="false">Fiscal_Transfers!$C$14:$L$14</definedName>
    <definedName function="false" hidden="false" name="GDP_Growth" vbProcedure="false">Assumptions!$C$7</definedName>
    <definedName function="false" hidden="false" name="Hurdle_Rate" vbProcedure="false">Assumptions!$C$42</definedName>
    <definedName function="false" hidden="false" name="Inflation_Rate" vbProcedure="false">Assumptions!$C$6</definedName>
    <definedName function="false" hidden="false" name="Internal_Opex_Rate" vbProcedure="false">Assumptions!$C$46</definedName>
    <definedName function="false" hidden="false" name="IR_Beg_AUM" vbProcedure="false">Investment_Returns!$C$6:$L$6</definedName>
    <definedName function="false" hidden="false" name="IR_Total_Gross" vbProcedure="false">Investment_Returns!$C$16:$L$16</definedName>
    <definedName function="false" hidden="false" name="Model_Start_Year" vbProcedure="false">Assumptions!$C$55</definedName>
    <definedName function="false" hidden="false" name="Oil_Price" vbProcedure="false">Assumptions!$C$11</definedName>
    <definedName function="false" hidden="false" name="Oil_Production" vbProcedure="false">Assumptions!$C$12</definedName>
    <definedName function="false" hidden="false" name="Opening_AUM" vbProcedure="false">Assumptions!$C$54</definedName>
    <definedName function="false" hidden="false" name="Opex_Inflation_Rate" vbProcedure="false">Assumptions!$C$47</definedName>
    <definedName function="false" hidden="false" name="Population_Growth" vbProcedure="false">Assumptions!$C$8</definedName>
    <definedName function="false" hidden="false" name="Price_Threshold" vbProcedure="false">Assumptions!$C$14</definedName>
    <definedName function="false" hidden="false" name="RB_Net_Trade" vbProcedure="false">Rebalancing!$C$32:$L$32</definedName>
    <definedName function="false" hidden="false" name="Ret_Cash" vbProcedure="false">Assumptions!$C$31</definedName>
    <definedName function="false" hidden="false" name="Ret_FI" vbProcedure="false">Assumptions!$C$27</definedName>
    <definedName function="false" hidden="false" name="Ret_Infra" vbProcedure="false">Assumptions!$C$30</definedName>
    <definedName function="false" hidden="false" name="Ret_PE" vbProcedure="false">Assumptions!$C$28</definedName>
    <definedName function="false" hidden="false" name="Ret_Pub_Eq" vbProcedure="false">Assumptions!$C$26</definedName>
    <definedName function="false" hidden="false" name="Ret_RE" vbProcedure="false">Assumptions!$C$29</definedName>
    <definedName function="false" hidden="false" name="Royalty_Rate" vbProcedure="false">Assumptions!$C$13</definedName>
    <definedName function="false" hidden="false" name="Smoothing_Years" vbProcedure="false">Assumptions!$C$51</definedName>
    <definedName function="false" hidden="false" name="Spending_Rate" vbProcedure="false">Assumptions!$C$50</definedName>
    <definedName function="false" hidden="false" name="Surplus_Contrib" vbProcedure="false">Assumptions!$C$15</definedName>
    <definedName function="false" hidden="false" name="Wt_Cash" vbProcedure="false">Assumptions!$C$23</definedName>
    <definedName function="false" hidden="false" name="Wt_FI" vbProcedure="false">Assumptions!$C$19</definedName>
    <definedName function="false" hidden="false" name="Wt_Infra" vbProcedure="false">Assumptions!$C$22</definedName>
    <definedName function="false" hidden="false" name="Wt_PE" vbProcedure="false">Assumptions!$C$20</definedName>
    <definedName function="false" hidden="false" name="Wt_Pub_Eq" vbProcedure="false">Assumptions!$C$18</definedName>
    <definedName function="false" hidden="false" name="Wt_RE" vbProcedure="false">Assumptions!$C$21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<sst xmlns="http://schemas.openxmlformats.org/spreadsheetml/2006/main" count="317" uniqueCount="207">
  <si>
    <t xml:space="preserve">Sovereign Wealth Fund Model</t>
  </si>
  <si>
    <t xml:space="preserve">FINAMODEL.com</t>
  </si>
  <si>
    <t xml:space="preserve">Asset allocation and fiscal sustainability</t>
  </si>
  <si>
    <t xml:space="preserve">Sheet</t>
  </si>
  <si>
    <t xml:space="preserve">Description</t>
  </si>
  <si>
    <t xml:space="preserve">Tab Colour</t>
  </si>
  <si>
    <t xml:space="preserve">Cover</t>
  </si>
  <si>
    <t xml:space="preserve">Title and navigation</t>
  </si>
  <si>
    <t xml:space="preserve">Dark Blue</t>
  </si>
  <si>
    <t xml:space="preserve">Assumptions</t>
  </si>
  <si>
    <t xml:space="preserve">Model inputs and parameters</t>
  </si>
  <si>
    <t xml:space="preserve">Light Blue</t>
  </si>
  <si>
    <t xml:space="preserve">Asset_Allocation</t>
  </si>
  <si>
    <t xml:space="preserve">Target weights and returns</t>
  </si>
  <si>
    <t xml:space="preserve">Contributions</t>
  </si>
  <si>
    <t xml:space="preserve">Government inflows</t>
  </si>
  <si>
    <t xml:space="preserve">Green</t>
  </si>
  <si>
    <t xml:space="preserve">Investment_Returns</t>
  </si>
  <si>
    <t xml:space="preserve">Gross returns by asset class</t>
  </si>
  <si>
    <t xml:space="preserve">Fee_Schedule</t>
  </si>
  <si>
    <t xml:space="preserve">Management and performance fees</t>
  </si>
  <si>
    <t xml:space="preserve">Orange</t>
  </si>
  <si>
    <t xml:space="preserve">Fiscal_Transfers</t>
  </si>
  <si>
    <t xml:space="preserve">Spending rule outflows</t>
  </si>
  <si>
    <t xml:space="preserve">AUM_Rollforward</t>
  </si>
  <si>
    <t xml:space="preserve">Core AUM engine</t>
  </si>
  <si>
    <t xml:space="preserve">Grey</t>
  </si>
  <si>
    <t xml:space="preserve">Rebalancing</t>
  </si>
  <si>
    <t xml:space="preserve">Drift and rebalancing trades</t>
  </si>
  <si>
    <t xml:space="preserve">Fund_Performance</t>
  </si>
  <si>
    <t xml:space="preserve">Net returns and real value</t>
  </si>
  <si>
    <t xml:space="preserve">Checks</t>
  </si>
  <si>
    <t xml:space="preserve">Validation checks</t>
  </si>
  <si>
    <t xml:space="preserve">Red</t>
  </si>
  <si>
    <t xml:space="preserve">About this model</t>
  </si>
  <si>
    <t xml:space="preserve">Model sovereign wealth fund allocation and performance to track whether the fund is hitting return targets and maintaining strategic positioning across 10+ year horizons. The model projects government contributions (commodity revenue, fiscal transfers), applies expected returns per asset class (equities, bonds, PE, infrastructure, real assets), calculates total fees and performance fees, and rolls forward NAV by year. It outputs net returns, real returns (inflation-adjusted), and rebalancing trades to restore target weights.
Key features: contributions are scenario-linked (e.g., oil revenue above $50/bbl transfers to the fund); fees separate base management (0.05-0.5% depending on asset class) from performance fees (20% carry above hurdle); fiscal transfers use a trailing 3-year average spend rule (e.g., Norway's 3% rule) to avoid pro-cyclical drawdowns. Asset class weights drift after differential returns; the model flags drift and calculates rebalancing trades. Real return preservationâa core SWF mandateâis checked annually (real return &gt; inflation = intergenerational equity maintained). Leverage is optional and tracked against LTV caps.
Essential for sovereign wealth fund managers, central banks, and ministries of finance managing long-term savings. Also used by pension funds with SWF-like governance (multi-decade horizons, diversified mandates, fiscal transfer rules).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</si>
  <si>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</si>
  <si>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</si>
  <si>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</si>
  <si>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</si>
  <si>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Model parameters</t>
  </si>
  <si>
    <t xml:space="preserve">Parameter</t>
  </si>
  <si>
    <t xml:space="preserve">Value</t>
  </si>
  <si>
    <t xml:space="preserve">Unit</t>
  </si>
  <si>
    <t xml:space="preserve">Notes</t>
  </si>
  <si>
    <t xml:space="preserve">Macroeconomic</t>
  </si>
  <si>
    <t xml:space="preserve">Inflation Rate</t>
  </si>
  <si>
    <t xml:space="preserve">%</t>
  </si>
  <si>
    <t xml:space="preserve">Long-term CPI target</t>
  </si>
  <si>
    <t xml:space="preserve">Nominal GDP Growth</t>
  </si>
  <si>
    <t xml:space="preserve">Domestic economy</t>
  </si>
  <si>
    <t xml:space="preserve">Population Growth</t>
  </si>
  <si>
    <t xml:space="preserve">Annual</t>
  </si>
  <si>
    <t xml:space="preserve">Commodity &amp; Contributions</t>
  </si>
  <si>
    <t xml:space="preserve">Oil Price</t>
  </si>
  <si>
    <t xml:space="preserve">$/bbl</t>
  </si>
  <si>
    <t xml:space="preserve">Brent benchmark</t>
  </si>
  <si>
    <t xml:space="preserve">Oil Production</t>
  </si>
  <si>
    <t xml:space="preserve">M bbl/day</t>
  </si>
  <si>
    <t xml:space="preserve">National output</t>
  </si>
  <si>
    <t xml:space="preserve">Royalty Transfer Rate</t>
  </si>
  <si>
    <t xml:space="preserve">Of excess revenue</t>
  </si>
  <si>
    <t xml:space="preserve">Price Threshold</t>
  </si>
  <si>
    <t xml:space="preserve">Below this, no transfer</t>
  </si>
  <si>
    <t xml:space="preserve">Budget Surplus Contrib</t>
  </si>
  <si>
    <t xml:space="preserve">$M</t>
  </si>
  <si>
    <t xml:space="preserve">Annual fixed transfer</t>
  </si>
  <si>
    <t xml:space="preserve">Asset Class Weights</t>
  </si>
  <si>
    <t xml:space="preserve">Public Equities</t>
  </si>
  <si>
    <t xml:space="preserve">Global diversified</t>
  </si>
  <si>
    <t xml:space="preserve">Fixed Income</t>
  </si>
  <si>
    <t xml:space="preserve">Sovereign and corporate</t>
  </si>
  <si>
    <t xml:space="preserve">Private Equity</t>
  </si>
  <si>
    <t xml:space="preserve">Buyout, growth, venture</t>
  </si>
  <si>
    <t xml:space="preserve">Real Estate</t>
  </si>
  <si>
    <t xml:space="preserve">Global direct and funds</t>
  </si>
  <si>
    <t xml:space="preserve">Infrastructure</t>
  </si>
  <si>
    <t xml:space="preserve">Transport, energy, digital</t>
  </si>
  <si>
    <t xml:space="preserve">Cash</t>
  </si>
  <si>
    <t xml:space="preserve">Liquidity buffer</t>
  </si>
  <si>
    <t xml:space="preserve">Expected Returns</t>
  </si>
  <si>
    <t xml:space="preserve">Long-term nominal</t>
  </si>
  <si>
    <t xml:space="preserve">Yield plus appreciation</t>
  </si>
  <si>
    <t xml:space="preserve">Gross, before fees</t>
  </si>
  <si>
    <t xml:space="preserve">Total return</t>
  </si>
  <si>
    <t xml:space="preserve">Yield plus growth</t>
  </si>
  <si>
    <t xml:space="preserve">Money market rate</t>
  </si>
  <si>
    <t xml:space="preserve">Base Fee Rates</t>
  </si>
  <si>
    <t xml:space="preserve">Mostly passive</t>
  </si>
  <si>
    <t xml:space="preserve">Active management</t>
  </si>
  <si>
    <t xml:space="preserve">Standard 1.5%</t>
  </si>
  <si>
    <t xml:space="preserve">Fund and direct blend</t>
  </si>
  <si>
    <t xml:space="preserve">Custody only</t>
  </si>
  <si>
    <t xml:space="preserve">Performance Fees</t>
  </si>
  <si>
    <t xml:space="preserve">Hurdle Rate</t>
  </si>
  <si>
    <t xml:space="preserve">Above this, carry applies</t>
  </si>
  <si>
    <t xml:space="preserve">Carry Percentage</t>
  </si>
  <si>
    <t xml:space="preserve">On excess returns</t>
  </si>
  <si>
    <t xml:space="preserve">Operating Costs</t>
  </si>
  <si>
    <t xml:space="preserve">Internal Opex Rate</t>
  </si>
  <si>
    <t xml:space="preserve">As % of AUM</t>
  </si>
  <si>
    <t xml:space="preserve">Opex Inflation Rate</t>
  </si>
  <si>
    <t xml:space="preserve">Annual escalation</t>
  </si>
  <si>
    <t xml:space="preserve">Fiscal Transfer Rule</t>
  </si>
  <si>
    <t xml:space="preserve">Spending Rate</t>
  </si>
  <si>
    <t xml:space="preserve">Of trailing avg AUM</t>
  </si>
  <si>
    <t xml:space="preserve">Smoothing Period</t>
  </si>
  <si>
    <t xml:space="preserve">years</t>
  </si>
  <si>
    <t xml:space="preserve">Trailing average</t>
  </si>
  <si>
    <t xml:space="preserve">Fund Setup</t>
  </si>
  <si>
    <t xml:space="preserve">Opening AUM</t>
  </si>
  <si>
    <t xml:space="preserve">$250 billion</t>
  </si>
  <si>
    <t xml:space="preserve">Model Start Year</t>
  </si>
  <si>
    <t xml:space="preserve">year</t>
  </si>
  <si>
    <t xml:space="preserve">First projection year</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</si>
  <si>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</si>
  <si>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</si>
  <si>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</si>
  <si>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</si>
  <si>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</si>
  <si>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</si>
  <si>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</si>
  <si>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</si>
  <si>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</si>
  <si>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</si>
  <si>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</si>
  <si>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</si>
  <si>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</si>
  <si>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</si>
  <si>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</si>
  <si>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</si>
  <si>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</si>
  <si>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Asset Allocation</t>
  </si>
  <si>
    <t xml:space="preserve">Asset Class</t>
  </si>
  <si>
    <t xml:space="preserve">Target Weight</t>
  </si>
  <si>
    <t xml:space="preserve">Expected Return</t>
  </si>
  <si>
    <t xml:space="preserve">Base Fee Rate</t>
  </si>
  <si>
    <t xml:space="preserve">TOTAL WEIGHT</t>
  </si>
  <si>
    <t xml:space="preserve">Weighted Returns</t>
  </si>
  <si>
    <t xml:space="preserve">WEIGHTED RETURN</t>
  </si>
  <si>
    <t xml:space="preserve">Year</t>
  </si>
  <si>
    <t xml:space="preserve">Oil Price ($/bbl)</t>
  </si>
  <si>
    <t xml:space="preserve">Oil Production (M bbl/day)</t>
  </si>
  <si>
    <t xml:space="preserve">Oil Revenue ($M)</t>
  </si>
  <si>
    <t xml:space="preserve">Threshold Revenue ($M)</t>
  </si>
  <si>
    <t xml:space="preserve">Excess Revenue ($M)</t>
  </si>
  <si>
    <t xml:space="preserve">Royalty Transfer ($M)</t>
  </si>
  <si>
    <t xml:space="preserve">Budget Surplus ($M)</t>
  </si>
  <si>
    <t xml:space="preserve">TOTAL CONTRIBUTIONS</t>
  </si>
  <si>
    <t xml:space="preserve">Investment Returns</t>
  </si>
  <si>
    <t xml:space="preserve">Gross returns by class</t>
  </si>
  <si>
    <t xml:space="preserve">Beginning AUM ($M)</t>
  </si>
  <si>
    <t xml:space="preserve">Gross Returns by Class</t>
  </si>
  <si>
    <t xml:space="preserve">TOTAL GROSS RETURN</t>
  </si>
  <si>
    <t xml:space="preserve">Fee Schedule</t>
  </si>
  <si>
    <t xml:space="preserve">Management and performance</t>
  </si>
  <si>
    <t xml:space="preserve">Base Management Fees</t>
  </si>
  <si>
    <t xml:space="preserve">Total Base Fees</t>
  </si>
  <si>
    <t xml:space="preserve">Total Performance Fees</t>
  </si>
  <si>
    <t xml:space="preserve">Internal Opex</t>
  </si>
  <si>
    <t xml:space="preserve">TOTAL FEES</t>
  </si>
  <si>
    <t xml:space="preserve">Total Expense Ratio</t>
  </si>
  <si>
    <t xml:space="preserve">Fiscal Transfers</t>
  </si>
  <si>
    <t xml:space="preserve">AUM Year t-1 ($M)</t>
  </si>
  <si>
    <t xml:space="preserve">AUM Year t-2 ($M)</t>
  </si>
  <si>
    <t xml:space="preserve">AUM Year t-3 ($M)</t>
  </si>
  <si>
    <t xml:space="preserve">Trailing Avg AUM ($M)</t>
  </si>
  <si>
    <t xml:space="preserve">Spending Rule ($M)</t>
  </si>
  <si>
    <t xml:space="preserve">TOTAL FISCAL TRANSFER</t>
  </si>
  <si>
    <t xml:space="preserve">AUM Rollforward</t>
  </si>
  <si>
    <t xml:space="preserve">Cash Flows</t>
  </si>
  <si>
    <t xml:space="preserve">Contributions ($M)</t>
  </si>
  <si>
    <t xml:space="preserve">Gross Returns ($M)</t>
  </si>
  <si>
    <t xml:space="preserve">Less: Total Fees ($M)</t>
  </si>
  <si>
    <t xml:space="preserve">Net Investment Return</t>
  </si>
  <si>
    <t xml:space="preserve">Less: Fiscal Transfer</t>
  </si>
  <si>
    <t xml:space="preserve">Net Flow ($M)</t>
  </si>
  <si>
    <t xml:space="preserve">ENDING AUM ($M)</t>
  </si>
  <si>
    <t xml:space="preserve">Rollforward Check</t>
  </si>
  <si>
    <t xml:space="preserve">Drift and trades</t>
  </si>
  <si>
    <t xml:space="preserve">Ending AUM ($M)</t>
  </si>
  <si>
    <t xml:space="preserve">Actual AUM by Class</t>
  </si>
  <si>
    <t xml:space="preserve">Target AUM by Class</t>
  </si>
  <si>
    <t xml:space="preserve">Rebalancing Trades</t>
  </si>
  <si>
    <t xml:space="preserve">NET REBALANCING</t>
  </si>
  <si>
    <t xml:space="preserve">Fund Performance</t>
  </si>
  <si>
    <t xml:space="preserve">Nominal Net Return</t>
  </si>
  <si>
    <t xml:space="preserve">Real Return</t>
  </si>
  <si>
    <t xml:space="preserve">AUM Growth</t>
  </si>
  <si>
    <t xml:space="preserve">Cumulative Flows</t>
  </si>
  <si>
    <t xml:space="preserve">Cumul. Contributions</t>
  </si>
  <si>
    <t xml:space="preserve">Cumul. Fiscal Transfers</t>
  </si>
  <si>
    <t xml:space="preserve">Cumul. Net Returns</t>
  </si>
  <si>
    <t xml:space="preserve">AUM Index (100=Base)</t>
  </si>
  <si>
    <t xml:space="preserve">Real AUM ($M)</t>
  </si>
  <si>
    <t xml:space="preserve">Real AUM Index</t>
  </si>
  <si>
    <t xml:space="preserve">Per Capita</t>
  </si>
  <si>
    <t xml:space="preserve">Population Index</t>
  </si>
  <si>
    <t xml:space="preserve">Real AUM per Capita Idx</t>
  </si>
  <si>
    <t xml:space="preserve">Weights Sum to 100%</t>
  </si>
  <si>
    <t xml:space="preserve">AUM Rollforward = 0</t>
  </si>
  <si>
    <t xml:space="preserve">Rebalancing Net = 0</t>
  </si>
  <si>
    <t xml:space="preserve">Cash Buffer &gt;= 1%</t>
  </si>
  <si>
    <t xml:space="preserve">TER 0.15% to 1.0%</t>
  </si>
  <si>
    <t xml:space="preserve">Real Return &gt; 0%</t>
  </si>
  <si>
    <t xml:space="preserve">Perf Fees &gt;= 0</t>
  </si>
  <si>
    <t xml:space="preserve">Fiscal Transfer Valid</t>
  </si>
</sst>
</file>

<file path=xl/styles.xml><?xml version="1.0" encoding="utf-8"?>
<styleSheet xmlns="http://schemas.openxmlformats.org/spreadsheetml/2006/main">
  <numFmts count="6">
    <numFmt numFmtId="164" formatCode="General"/>
    <numFmt numFmtId="165" formatCode="0.00%"/>
    <numFmt numFmtId="166" formatCode="#,##0.0"/>
    <numFmt numFmtId="167" formatCode="#,##0.00"/>
    <numFmt numFmtId="168" formatCode="0"/>
    <numFmt numFmtId="169" formatCode="@"/>
  </numFmts>
  <fonts count="25">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i val="true"/>
      <sz val="11"/>
      <color rgb="FF808080"/>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color theme="3"/>
      <name val="Arial"/>
      <family val="0"/>
      <charset val="1"/>
    </font>
    <font>
      <sz val="11"/>
      <color theme="3"/>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
      <b val="true"/>
      <sz val="18"/>
      <name val="Arial"/>
      <family val="0"/>
      <charset val="1"/>
    </font>
    <font>
      <sz val="11"/>
      <color rgb="FF000000"/>
      <name val="Arial"/>
      <family val="0"/>
      <charset val="1"/>
    </font>
  </fonts>
  <fills count="8">
    <fill>
      <patternFill patternType="none"/>
    </fill>
    <fill>
      <patternFill patternType="gray125"/>
    </fill>
    <fill>
      <patternFill patternType="solid">
        <fgColor theme="3"/>
        <bgColor rgb="FF1F4E79"/>
      </patternFill>
    </fill>
    <fill>
      <patternFill patternType="solid">
        <fgColor rgb="FFD6E4F0"/>
        <bgColor rgb="FFC6D9F1"/>
      </patternFill>
    </fill>
    <fill>
      <patternFill patternType="solid">
        <fgColor theme="3" tint="0.8"/>
        <bgColor rgb="FFD6E4F0"/>
      </patternFill>
    </fill>
    <fill>
      <patternFill patternType="solid">
        <fgColor rgb="FFE8F0FE"/>
        <bgColor rgb="FFF2F2F2"/>
      </patternFill>
    </fill>
    <fill>
      <patternFill patternType="solid">
        <fgColor rgb="FF1F4E79"/>
        <bgColor rgb="FF1F497D"/>
      </patternFill>
    </fill>
    <fill>
      <patternFill patternType="solid">
        <fgColor rgb="FFF2F2F2"/>
        <bgColor rgb="FFE8F0FE"/>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double"/>
      <bottom/>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4" fontId="11" fillId="3" borderId="0" xfId="0" applyFont="true" applyBorder="false" applyAlignment="true" applyProtection="false">
      <alignment horizontal="left" vertical="center"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6" fillId="2" borderId="0" xfId="0" applyFont="true" applyBorder="false" applyAlignment="true" applyProtection="false">
      <alignment horizontal="left" vertical="bottom" textRotation="0" wrapText="false" indent="0" shrinkToFit="false"/>
      <protection locked="true" hidden="false"/>
    </xf>
    <xf numFmtId="164" fontId="15" fillId="4" borderId="0" xfId="0" applyFont="true" applyBorder="false" applyAlignment="true" applyProtection="false">
      <alignment horizontal="left" vertical="bottom" textRotation="0" wrapText="fals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5" fontId="16" fillId="5" borderId="0" xfId="0" applyFont="true" applyBorder="false" applyAlignment="true" applyProtection="false">
      <alignment horizontal="right" vertical="bottom" textRotation="0" wrapText="false" indent="0" shrinkToFit="false"/>
      <protection locked="true" hidden="false"/>
    </xf>
    <xf numFmtId="166" fontId="16" fillId="5" borderId="0" xfId="0" applyFont="true" applyBorder="false" applyAlignment="true" applyProtection="false">
      <alignment horizontal="right" vertical="bottom" textRotation="0" wrapText="false" indent="0" shrinkToFit="false"/>
      <protection locked="true" hidden="false"/>
    </xf>
    <xf numFmtId="167" fontId="16" fillId="5" borderId="0" xfId="0" applyFont="true" applyBorder="false" applyAlignment="true" applyProtection="false">
      <alignment horizontal="right" vertical="bottom"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18" fillId="6" borderId="0" xfId="0" applyFont="true" applyBorder="false" applyAlignment="true" applyProtection="false">
      <alignment horizontal="left" vertical="center" textRotation="0" wrapText="false" indent="1" shrinkToFit="false"/>
      <protection locked="true" hidden="false"/>
    </xf>
    <xf numFmtId="164" fontId="19" fillId="0" borderId="0" xfId="0" applyFont="true" applyBorder="false" applyAlignment="true" applyProtection="false">
      <alignment horizontal="left" vertical="top" textRotation="0" wrapText="true" indent="1" shrinkToFit="false"/>
      <protection locked="true" hidden="false"/>
    </xf>
    <xf numFmtId="164" fontId="20"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21" fillId="7" borderId="0" xfId="0" applyFont="true" applyBorder="false" applyAlignment="true" applyProtection="false">
      <alignment horizontal="left" vertical="top" textRotation="0" wrapText="true" indent="1" shrinkToFit="false"/>
      <protection locked="true" hidden="false"/>
    </xf>
    <xf numFmtId="164" fontId="22" fillId="0" borderId="0" xfId="0" applyFont="true" applyBorder="false" applyAlignment="true" applyProtection="false">
      <alignment horizontal="left" vertical="center" textRotation="0" wrapText="false" indent="1"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8" fillId="6" borderId="0" xfId="0" applyFont="true" applyBorder="false" applyAlignment="true" applyProtection="false">
      <alignment horizontal="left" vertical="bottom" textRotation="0" wrapText="false" indent="0" shrinkToFit="false"/>
      <protection locked="true" hidden="false"/>
    </xf>
    <xf numFmtId="164" fontId="18" fillId="6" borderId="0" xfId="0" applyFont="true" applyBorder="false" applyAlignment="true" applyProtection="false">
      <alignment horizontal="righ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1" shrinkToFit="false"/>
      <protection locked="true" hidden="false"/>
    </xf>
    <xf numFmtId="165" fontId="24" fillId="0" borderId="0" xfId="0" applyFont="true" applyBorder="false" applyAlignment="true" applyProtection="false">
      <alignment horizontal="right" vertical="bottom" textRotation="0" wrapText="false" indent="0" shrinkToFit="false"/>
      <protection locked="true" hidden="false"/>
    </xf>
    <xf numFmtId="164" fontId="9" fillId="0" borderId="2" xfId="0" applyFont="true" applyBorder="true" applyAlignment="true" applyProtection="false">
      <alignment horizontal="left" vertical="bottom" textRotation="0" wrapText="false" indent="0" shrinkToFit="false"/>
      <protection locked="true" hidden="false"/>
    </xf>
    <xf numFmtId="165" fontId="9" fillId="0" borderId="2" xfId="0" applyFont="true" applyBorder="true" applyAlignment="true" applyProtection="false">
      <alignment horizontal="right" vertical="bottom" textRotation="0" wrapText="false" indent="0" shrinkToFit="false"/>
      <protection locked="true" hidden="false"/>
    </xf>
    <xf numFmtId="164" fontId="8" fillId="0" borderId="2" xfId="0" applyFont="true" applyBorder="true" applyAlignment="false" applyProtection="false">
      <alignment horizontal="general" vertical="bottom" textRotation="0" wrapText="false" indent="0" shrinkToFit="false"/>
      <protection locked="true" hidden="false"/>
    </xf>
    <xf numFmtId="164" fontId="11" fillId="3" borderId="0" xfId="0" applyFont="true" applyBorder="false" applyAlignment="true" applyProtection="false">
      <alignment horizontal="left" vertical="bottom" textRotation="0" wrapText="false" indent="0" shrinkToFit="false"/>
      <protection locked="true" hidden="false"/>
    </xf>
    <xf numFmtId="168" fontId="18" fillId="6" borderId="0" xfId="0" applyFont="true" applyBorder="false" applyAlignment="true" applyProtection="false">
      <alignment horizontal="center" vertical="bottom" textRotation="0" wrapText="false" indent="0" shrinkToFit="false"/>
      <protection locked="true" hidden="false"/>
    </xf>
    <xf numFmtId="166" fontId="0" fillId="0" borderId="0" xfId="0" applyFont="true" applyBorder="false" applyAlignment="true" applyProtection="false">
      <alignment horizontal="right" vertical="bottom" textRotation="0" wrapText="false" indent="0" shrinkToFit="false"/>
      <protection locked="true" hidden="false"/>
    </xf>
    <xf numFmtId="167" fontId="9" fillId="0" borderId="0" xfId="0" applyFont="true" applyBorder="false" applyAlignment="true" applyProtection="false">
      <alignment horizontal="right" vertical="bottom" textRotation="0" wrapText="false" indent="0" shrinkToFit="false"/>
      <protection locked="true" hidden="false"/>
    </xf>
    <xf numFmtId="167" fontId="0" fillId="0" borderId="0" xfId="0" applyFont="true" applyBorder="false" applyAlignment="true" applyProtection="false">
      <alignment horizontal="right" vertical="bottom" textRotation="0" wrapText="false" indent="0" shrinkToFit="false"/>
      <protection locked="true" hidden="false"/>
    </xf>
    <xf numFmtId="167" fontId="9" fillId="0" borderId="2" xfId="0" applyFont="true" applyBorder="true" applyAlignment="true" applyProtection="false">
      <alignment horizontal="right" vertical="bottom" textRotation="0" wrapText="false" indent="0" shrinkToFit="false"/>
      <protection locked="true" hidden="false"/>
    </xf>
    <xf numFmtId="164" fontId="9" fillId="0" borderId="3" xfId="0" applyFont="true" applyBorder="true" applyAlignment="true" applyProtection="false">
      <alignment horizontal="left" vertical="bottom" textRotation="0" wrapText="false" indent="0" shrinkToFit="false"/>
      <protection locked="true" hidden="false"/>
    </xf>
    <xf numFmtId="166" fontId="9" fillId="0" borderId="3" xfId="0" applyFont="true" applyBorder="true" applyAlignment="true" applyProtection="false">
      <alignment horizontal="right" vertical="bottom" textRotation="0" wrapText="false" indent="0" shrinkToFit="false"/>
      <protection locked="true" hidden="false"/>
    </xf>
    <xf numFmtId="166" fontId="9" fillId="0" borderId="2" xfId="0" applyFont="true" applyBorder="true" applyAlignment="true" applyProtection="false">
      <alignment horizontal="right" vertical="bottom" textRotation="0" wrapText="false" indent="0" shrinkToFit="false"/>
      <protection locked="true" hidden="false"/>
    </xf>
    <xf numFmtId="165" fontId="0" fillId="0" borderId="0" xfId="0" applyFont="true" applyBorder="false" applyAlignment="true" applyProtection="false">
      <alignment horizontal="right" vertical="bottom" textRotation="0" wrapText="false" indent="0" shrinkToFit="false"/>
      <protection locked="true" hidden="false"/>
    </xf>
    <xf numFmtId="164" fontId="9" fillId="0" borderId="3" xfId="0" applyFont="true" applyBorder="true" applyAlignment="true" applyProtection="false">
      <alignment horizontal="left" vertical="bottom" textRotation="0" wrapText="false" indent="1" shrinkToFit="false"/>
      <protection locked="true" hidden="false"/>
    </xf>
    <xf numFmtId="167" fontId="9" fillId="0" borderId="3" xfId="0" applyFont="true" applyBorder="true" applyAlignment="true" applyProtection="false">
      <alignment horizontal="right" vertical="bottom" textRotation="0" wrapText="false" indent="0" shrinkToFit="false"/>
      <protection locked="true" hidden="false"/>
    </xf>
    <xf numFmtId="169" fontId="0" fillId="0" borderId="0" xfId="0" applyFont="true" applyBorder="fals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E8F0FE"/>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6E4F0"/>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5"/>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4"/>
    <col collapsed="false" customWidth="true" hidden="false" outlineLevel="0" max="3" min="3" style="0" width="42"/>
    <col collapsed="false" customWidth="true" hidden="false" outlineLevel="0" max="4" min="4"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6" t="s">
        <v>4</v>
      </c>
      <c r="D5" s="6" t="s">
        <v>5</v>
      </c>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7" t="s">
        <v>6</v>
      </c>
      <c r="C6" s="7" t="s">
        <v>7</v>
      </c>
      <c r="D6" s="8" t="s">
        <v>8</v>
      </c>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7" t="s">
        <v>9</v>
      </c>
      <c r="C7" s="7" t="s">
        <v>10</v>
      </c>
      <c r="D7" s="8" t="s">
        <v>11</v>
      </c>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7" t="s">
        <v>12</v>
      </c>
      <c r="C8" s="7" t="s">
        <v>13</v>
      </c>
      <c r="D8" s="8" t="s">
        <v>11</v>
      </c>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7" t="s">
        <v>14</v>
      </c>
      <c r="C9" s="7" t="s">
        <v>15</v>
      </c>
      <c r="D9" s="8" t="s">
        <v>16</v>
      </c>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7" t="s">
        <v>17</v>
      </c>
      <c r="C10" s="7" t="s">
        <v>18</v>
      </c>
      <c r="D10" s="8" t="s">
        <v>16</v>
      </c>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7" t="s">
        <v>19</v>
      </c>
      <c r="C11" s="7" t="s">
        <v>20</v>
      </c>
      <c r="D11" s="8" t="s">
        <v>21</v>
      </c>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7" t="s">
        <v>22</v>
      </c>
      <c r="C12" s="7" t="s">
        <v>23</v>
      </c>
      <c r="D12" s="8" t="s">
        <v>21</v>
      </c>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7" t="s">
        <v>24</v>
      </c>
      <c r="C13" s="7" t="s">
        <v>25</v>
      </c>
      <c r="D13" s="8" t="s">
        <v>26</v>
      </c>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7" t="s">
        <v>27</v>
      </c>
      <c r="C14" s="7" t="s">
        <v>28</v>
      </c>
      <c r="D14" s="8" t="s">
        <v>26</v>
      </c>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7" t="s">
        <v>29</v>
      </c>
      <c r="C15" s="7" t="s">
        <v>30</v>
      </c>
      <c r="D15" s="8" t="s">
        <v>26</v>
      </c>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7" t="s">
        <v>31</v>
      </c>
      <c r="C16" s="7" t="s">
        <v>32</v>
      </c>
      <c r="D16" s="8" t="s">
        <v>33</v>
      </c>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9.5" hidden="false" customHeight="true" outlineLevel="0" collapsed="false">
      <c r="A19" s="5"/>
      <c r="B19" s="9" t="s">
        <v>34</v>
      </c>
      <c r="C19" s="10"/>
      <c r="D19" s="10"/>
      <c r="E19" s="10"/>
      <c r="F19" s="10"/>
      <c r="G19" s="10"/>
      <c r="H19" s="5"/>
      <c r="I19" s="5"/>
      <c r="J19" s="5"/>
      <c r="K19" s="5"/>
      <c r="L19" s="5"/>
      <c r="M19" s="5"/>
      <c r="N19" s="5"/>
      <c r="O19" s="5"/>
      <c r="P19" s="5"/>
      <c r="Q19" s="5"/>
      <c r="R19" s="5"/>
      <c r="S19" s="5"/>
      <c r="T19" s="5"/>
      <c r="U19" s="5"/>
      <c r="V19" s="5"/>
      <c r="W19" s="5"/>
      <c r="X19" s="5"/>
      <c r="Y19" s="5"/>
      <c r="Z19" s="5"/>
      <c r="AA19" s="5"/>
      <c r="AB19" s="5"/>
      <c r="AC19" s="5"/>
      <c r="AD19" s="5"/>
    </row>
    <row r="20" customFormat="false" ht="208.5" hidden="false" customHeight="true" outlineLevel="0" collapsed="false">
      <c r="A20" s="5"/>
      <c r="B20" s="11" t="s">
        <v>35</v>
      </c>
      <c r="C20" s="11"/>
      <c r="D20" s="11"/>
      <c r="E20" s="11"/>
      <c r="F20" s="11"/>
      <c r="G20" s="11"/>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9.5" hidden="false" customHeight="true" outlineLevel="0" collapsed="false">
      <c r="A22" s="5"/>
      <c r="B22" s="9" t="s">
        <v>36</v>
      </c>
      <c r="C22" s="10"/>
      <c r="D22" s="10"/>
      <c r="E22" s="10"/>
      <c r="F22" s="10"/>
      <c r="G22" s="10"/>
      <c r="H22" s="5"/>
      <c r="I22" s="5"/>
      <c r="J22" s="5"/>
      <c r="K22" s="5"/>
      <c r="L22" s="5"/>
      <c r="M22" s="5"/>
      <c r="N22" s="5"/>
      <c r="O22" s="5"/>
      <c r="P22" s="5"/>
      <c r="Q22" s="5"/>
      <c r="R22" s="5"/>
      <c r="S22" s="5"/>
      <c r="T22" s="5"/>
      <c r="U22" s="5"/>
      <c r="V22" s="5"/>
      <c r="W22" s="5"/>
      <c r="X22" s="5"/>
      <c r="Y22" s="5"/>
      <c r="Z22" s="5"/>
      <c r="AA22" s="5"/>
      <c r="AB22" s="5"/>
      <c r="AC22" s="5"/>
      <c r="AD22" s="5"/>
    </row>
    <row r="23" customFormat="false" ht="57" hidden="false" customHeight="true" outlineLevel="0" collapsed="false">
      <c r="A23" s="5"/>
      <c r="B23" s="11" t="s">
        <v>37</v>
      </c>
      <c r="C23" s="11"/>
      <c r="D23" s="11"/>
      <c r="E23" s="11"/>
      <c r="F23" s="11"/>
      <c r="G23" s="11"/>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12" t="s">
        <v>38</v>
      </c>
      <c r="C24" s="12"/>
      <c r="D24" s="12"/>
      <c r="E24" s="12"/>
      <c r="F24" s="12"/>
      <c r="G24" s="12"/>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13" t="s">
        <v>39</v>
      </c>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row>
  </sheetData>
  <mergeCells count="3">
    <mergeCell ref="B20:G20"/>
    <mergeCell ref="B23:G23"/>
    <mergeCell ref="B24:G24"/>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L3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6"/>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8" t="s">
        <v>27</v>
      </c>
      <c r="C2" s="5"/>
      <c r="D2" s="5"/>
      <c r="E2" s="5"/>
      <c r="F2" s="5"/>
      <c r="G2" s="5"/>
      <c r="H2" s="5"/>
      <c r="I2" s="5"/>
      <c r="J2" s="5"/>
      <c r="K2" s="5"/>
      <c r="L2" s="5"/>
    </row>
    <row r="3" customFormat="false" ht="15" hidden="false" customHeight="false" outlineLevel="0" collapsed="false">
      <c r="A3" s="5"/>
      <c r="B3" s="29" t="s">
        <v>179</v>
      </c>
      <c r="C3" s="5"/>
      <c r="D3" s="5"/>
      <c r="E3" s="5"/>
      <c r="F3" s="5"/>
      <c r="G3" s="5"/>
      <c r="H3" s="5"/>
      <c r="I3" s="5"/>
      <c r="J3" s="5"/>
      <c r="K3" s="5"/>
      <c r="L3" s="5"/>
    </row>
    <row r="4" customFormat="false" ht="15" hidden="false" customHeight="false" outlineLevel="0" collapsed="false">
      <c r="A4" s="5"/>
      <c r="B4" s="30" t="s">
        <v>140</v>
      </c>
      <c r="C4" s="38" t="n">
        <f aca="false">Model_Start_Year+COLUMN()-3</f>
        <v>2025</v>
      </c>
      <c r="D4" s="38" t="n">
        <f aca="false">Model_Start_Year+COLUMN()-3</f>
        <v>2026</v>
      </c>
      <c r="E4" s="38" t="n">
        <f aca="false">Model_Start_Year+COLUMN()-3</f>
        <v>2027</v>
      </c>
      <c r="F4" s="38" t="n">
        <f aca="false">Model_Start_Year+COLUMN()-3</f>
        <v>2028</v>
      </c>
      <c r="G4" s="38" t="n">
        <f aca="false">Model_Start_Year+COLUMN()-3</f>
        <v>2029</v>
      </c>
      <c r="H4" s="38" t="n">
        <f aca="false">Model_Start_Year+COLUMN()-3</f>
        <v>2030</v>
      </c>
      <c r="I4" s="38" t="n">
        <f aca="false">Model_Start_Year+COLUMN()-3</f>
        <v>2031</v>
      </c>
      <c r="J4" s="38" t="n">
        <f aca="false">Model_Start_Year+COLUMN()-3</f>
        <v>2032</v>
      </c>
      <c r="K4" s="38" t="n">
        <f aca="false">Model_Start_Year+COLUMN()-3</f>
        <v>2033</v>
      </c>
      <c r="L4" s="38" t="n">
        <f aca="false">Model_Start_Year+COLUMN()-3</f>
        <v>2034</v>
      </c>
    </row>
    <row r="5" customFormat="false" ht="15" hidden="false" customHeight="false" outlineLevel="0" collapsed="false">
      <c r="A5" s="5"/>
      <c r="B5" s="5"/>
      <c r="C5" s="5"/>
      <c r="D5" s="5"/>
      <c r="E5" s="5"/>
      <c r="F5" s="5"/>
      <c r="G5" s="5"/>
      <c r="H5" s="5"/>
      <c r="I5" s="5"/>
      <c r="J5" s="5"/>
      <c r="K5" s="5"/>
      <c r="L5" s="5"/>
    </row>
    <row r="6" customFormat="false" ht="15" hidden="false" customHeight="false" outlineLevel="0" collapsed="false">
      <c r="A6" s="5"/>
      <c r="B6" s="6" t="s">
        <v>180</v>
      </c>
      <c r="C6" s="40" t="n">
        <f aca="false">AR_End_AUM</f>
        <v>270480</v>
      </c>
      <c r="D6" s="40" t="n">
        <f aca="false">AR_End_AUM</f>
        <v>292796.295216667</v>
      </c>
      <c r="E6" s="40" t="n">
        <f aca="false">AR_End_AUM</f>
        <v>316822.848032639</v>
      </c>
      <c r="F6" s="40" t="n">
        <f aca="false">AR_End_AUM</f>
        <v>342405.972375424</v>
      </c>
      <c r="G6" s="40" t="n">
        <f aca="false">AR_End_AUM</f>
        <v>369603.346980429</v>
      </c>
      <c r="H6" s="40" t="n">
        <f aca="false">AR_End_AUM</f>
        <v>398479.111930693</v>
      </c>
      <c r="I6" s="40" t="n">
        <f aca="false">AR_End_AUM</f>
        <v>429102.041126047</v>
      </c>
      <c r="J6" s="40" t="n">
        <f aca="false">AR_End_AUM</f>
        <v>461543.220746865</v>
      </c>
      <c r="K6" s="40" t="n">
        <f aca="false">AR_End_AUM</f>
        <v>495876.018769691</v>
      </c>
      <c r="L6" s="40" t="n">
        <f aca="false">AR_End_AUM</f>
        <v>532176.099071109</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37" t="s">
        <v>181</v>
      </c>
      <c r="C8" s="10"/>
      <c r="D8" s="10"/>
      <c r="E8" s="10"/>
      <c r="F8" s="10"/>
      <c r="G8" s="10"/>
      <c r="H8" s="10"/>
      <c r="I8" s="10"/>
      <c r="J8" s="10"/>
      <c r="K8" s="10"/>
      <c r="L8" s="10"/>
    </row>
    <row r="9" customFormat="false" ht="15" hidden="false" customHeight="false" outlineLevel="0" collapsed="false">
      <c r="A9" s="5"/>
      <c r="B9" s="32" t="s">
        <v>68</v>
      </c>
      <c r="C9" s="41" t="n">
        <f aca="false">AR_Beg_AUM*Wt_Pub_Eq*(1+Ret_Pub_Eq)</f>
        <v>102125</v>
      </c>
      <c r="D9" s="41" t="n">
        <f aca="false">AR_Beg_AUM*Wt_Pub_Eq*(1+Ret_Pub_Eq)</f>
        <v>110491.08</v>
      </c>
      <c r="E9" s="41" t="n">
        <f aca="false">AR_Beg_AUM*Wt_Pub_Eq*(1+Ret_Pub_Eq)</f>
        <v>119607.286596008</v>
      </c>
      <c r="F9" s="41" t="n">
        <f aca="false">AR_Beg_AUM*Wt_Pub_Eq*(1+Ret_Pub_Eq)</f>
        <v>129422.133421333</v>
      </c>
      <c r="G9" s="41" t="n">
        <f aca="false">AR_Beg_AUM*Wt_Pub_Eq*(1+Ret_Pub_Eq)</f>
        <v>139872.839715361</v>
      </c>
      <c r="H9" s="41" t="n">
        <f aca="false">AR_Beg_AUM*Wt_Pub_Eq*(1+Ret_Pub_Eq)</f>
        <v>150982.967241505</v>
      </c>
      <c r="I9" s="41" t="n">
        <f aca="false">AR_Beg_AUM*Wt_Pub_Eq*(1+Ret_Pub_Eq)</f>
        <v>162778.717223688</v>
      </c>
      <c r="J9" s="41" t="n">
        <f aca="false">AR_Beg_AUM*Wt_Pub_Eq*(1+Ret_Pub_Eq)</f>
        <v>175288.18379999</v>
      </c>
      <c r="K9" s="41" t="n">
        <f aca="false">AR_Beg_AUM*Wt_Pub_Eq*(1+Ret_Pub_Eq)</f>
        <v>188540.405675094</v>
      </c>
      <c r="L9" s="41" t="n">
        <f aca="false">AR_Beg_AUM*Wt_Pub_Eq*(1+Ret_Pub_Eq)</f>
        <v>202565.353667419</v>
      </c>
    </row>
    <row r="10" customFormat="false" ht="15" hidden="false" customHeight="false" outlineLevel="0" collapsed="false">
      <c r="A10" s="5"/>
      <c r="B10" s="32" t="s">
        <v>70</v>
      </c>
      <c r="C10" s="41" t="n">
        <f aca="false">AR_Beg_AUM*Wt_FI*(1+Ret_FI)</f>
        <v>57200</v>
      </c>
      <c r="D10" s="41" t="n">
        <f aca="false">AR_Beg_AUM*Wt_FI*(1+Ret_FI)</f>
        <v>61885.824</v>
      </c>
      <c r="E10" s="41" t="n">
        <f aca="false">AR_Beg_AUM*Wt_FI*(1+Ret_FI)</f>
        <v>66991.7923455733</v>
      </c>
      <c r="F10" s="41" t="n">
        <f aca="false">AR_Beg_AUM*Wt_FI*(1+Ret_FI)</f>
        <v>72489.0676298678</v>
      </c>
      <c r="G10" s="41" t="n">
        <f aca="false">AR_Beg_AUM*Wt_FI*(1+Ret_FI)</f>
        <v>78342.486479497</v>
      </c>
      <c r="H10" s="41" t="n">
        <f aca="false">AR_Beg_AUM*Wt_FI*(1+Ret_FI)</f>
        <v>84565.245789122</v>
      </c>
      <c r="I10" s="41" t="n">
        <f aca="false">AR_Beg_AUM*Wt_FI*(1+Ret_FI)</f>
        <v>91172.0208097426</v>
      </c>
      <c r="J10" s="41" t="n">
        <f aca="false">AR_Beg_AUM*Wt_FI*(1+Ret_FI)</f>
        <v>98178.5470096397</v>
      </c>
      <c r="K10" s="41" t="n">
        <f aca="false">AR_Beg_AUM*Wt_FI*(1+Ret_FI)</f>
        <v>105601.088906883</v>
      </c>
      <c r="L10" s="41" t="n">
        <f aca="false">AR_Beg_AUM*Wt_FI*(1+Ret_FI)</f>
        <v>113456.433094505</v>
      </c>
    </row>
    <row r="11" customFormat="false" ht="15" hidden="false" customHeight="false" outlineLevel="0" collapsed="false">
      <c r="A11" s="5"/>
      <c r="B11" s="32" t="s">
        <v>72</v>
      </c>
      <c r="C11" s="41" t="n">
        <f aca="false">AR_Beg_AUM*Wt_PE*(1+Ret_PE)</f>
        <v>42000</v>
      </c>
      <c r="D11" s="41" t="n">
        <f aca="false">AR_Beg_AUM*Wt_PE*(1+Ret_PE)</f>
        <v>45440.64</v>
      </c>
      <c r="E11" s="41" t="n">
        <f aca="false">AR_Beg_AUM*Wt_PE*(1+Ret_PE)</f>
        <v>49189.7775964</v>
      </c>
      <c r="F11" s="41" t="n">
        <f aca="false">AR_Beg_AUM*Wt_PE*(1+Ret_PE)</f>
        <v>53226.2384694834</v>
      </c>
      <c r="G11" s="41" t="n">
        <f aca="false">AR_Beg_AUM*Wt_PE*(1+Ret_PE)</f>
        <v>57524.2033590712</v>
      </c>
      <c r="H11" s="41" t="n">
        <f aca="false">AR_Beg_AUM*Wt_PE*(1+Ret_PE)</f>
        <v>62093.362292712</v>
      </c>
      <c r="I11" s="41" t="n">
        <f aca="false">AR_Beg_AUM*Wt_PE*(1+Ret_PE)</f>
        <v>66944.4908043565</v>
      </c>
      <c r="J11" s="41" t="n">
        <f aca="false">AR_Beg_AUM*Wt_PE*(1+Ret_PE)</f>
        <v>72089.142909176</v>
      </c>
      <c r="K11" s="41" t="n">
        <f aca="false">AR_Beg_AUM*Wt_PE*(1+Ret_PE)</f>
        <v>77539.2610854734</v>
      </c>
      <c r="L11" s="41" t="n">
        <f aca="false">AR_Beg_AUM*Wt_PE*(1+Ret_PE)</f>
        <v>83307.1711533081</v>
      </c>
    </row>
    <row r="12" customFormat="false" ht="15" hidden="false" customHeight="false" outlineLevel="0" collapsed="false">
      <c r="A12" s="5"/>
      <c r="B12" s="32" t="s">
        <v>74</v>
      </c>
      <c r="C12" s="41" t="n">
        <f aca="false">AR_Beg_AUM*Wt_RE*(1+Ret_RE)</f>
        <v>26750</v>
      </c>
      <c r="D12" s="41" t="n">
        <f aca="false">AR_Beg_AUM*Wt_RE*(1+Ret_RE)</f>
        <v>28941.36</v>
      </c>
      <c r="E12" s="41" t="n">
        <f aca="false">AR_Beg_AUM*Wt_RE*(1+Ret_RE)</f>
        <v>31329.2035881833</v>
      </c>
      <c r="F12" s="41" t="n">
        <f aca="false">AR_Beg_AUM*Wt_RE*(1+Ret_RE)</f>
        <v>33900.0447394924</v>
      </c>
      <c r="G12" s="41" t="n">
        <f aca="false">AR_Beg_AUM*Wt_RE*(1+Ret_RE)</f>
        <v>36637.4390441704</v>
      </c>
      <c r="H12" s="41" t="n">
        <f aca="false">AR_Beg_AUM*Wt_RE*(1+Ret_RE)</f>
        <v>39547.5581269059</v>
      </c>
      <c r="I12" s="41" t="n">
        <f aca="false">AR_Beg_AUM*Wt_RE*(1+Ret_RE)</f>
        <v>42637.2649765842</v>
      </c>
      <c r="J12" s="41" t="n">
        <f aca="false">AR_Beg_AUM*Wt_RE*(1+Ret_RE)</f>
        <v>45913.9184004871</v>
      </c>
      <c r="K12" s="41" t="n">
        <f aca="false">AR_Beg_AUM*Wt_RE*(1+Ret_RE)</f>
        <v>49385.1246199146</v>
      </c>
      <c r="L12" s="41" t="n">
        <f aca="false">AR_Beg_AUM*Wt_RE*(1+Ret_RE)</f>
        <v>53058.7340083569</v>
      </c>
    </row>
    <row r="13" customFormat="false" ht="15" hidden="false" customHeight="false" outlineLevel="0" collapsed="false">
      <c r="A13" s="5"/>
      <c r="B13" s="32" t="s">
        <v>76</v>
      </c>
      <c r="C13" s="41" t="n">
        <f aca="false">AR_Beg_AUM*Wt_Infra*(1+Ret_Infra)</f>
        <v>27000</v>
      </c>
      <c r="D13" s="41" t="n">
        <f aca="false">AR_Beg_AUM*Wt_Infra*(1+Ret_Infra)</f>
        <v>29211.84</v>
      </c>
      <c r="E13" s="41" t="n">
        <f aca="false">AR_Beg_AUM*Wt_Infra*(1+Ret_Infra)</f>
        <v>31621.9998834</v>
      </c>
      <c r="F13" s="41" t="n">
        <f aca="false">AR_Beg_AUM*Wt_Infra*(1+Ret_Infra)</f>
        <v>34216.867587525</v>
      </c>
      <c r="G13" s="41" t="n">
        <f aca="false">AR_Beg_AUM*Wt_Infra*(1+Ret_Infra)</f>
        <v>36979.8450165458</v>
      </c>
      <c r="H13" s="41" t="n">
        <f aca="false">AR_Beg_AUM*Wt_Infra*(1+Ret_Infra)</f>
        <v>39917.1614738863</v>
      </c>
      <c r="I13" s="41" t="n">
        <f aca="false">AR_Beg_AUM*Wt_Infra*(1+Ret_Infra)</f>
        <v>43035.7440885149</v>
      </c>
      <c r="J13" s="41" t="n">
        <f aca="false">AR_Beg_AUM*Wt_Infra*(1+Ret_Infra)</f>
        <v>46343.0204416131</v>
      </c>
      <c r="K13" s="41" t="n">
        <f aca="false">AR_Beg_AUM*Wt_Infra*(1+Ret_Infra)</f>
        <v>49846.6678406615</v>
      </c>
      <c r="L13" s="41" t="n">
        <f aca="false">AR_Beg_AUM*Wt_Infra*(1+Ret_Infra)</f>
        <v>53554.6100271266</v>
      </c>
    </row>
    <row r="14" customFormat="false" ht="15" hidden="false" customHeight="false" outlineLevel="0" collapsed="false">
      <c r="A14" s="5"/>
      <c r="B14" s="32" t="s">
        <v>78</v>
      </c>
      <c r="C14" s="41" t="n">
        <f aca="false">AR_Beg_AUM*Wt_Cash*(1+Ret_Cash)</f>
        <v>12875</v>
      </c>
      <c r="D14" s="41" t="n">
        <f aca="false">AR_Beg_AUM*Wt_Cash*(1+Ret_Cash)</f>
        <v>13929.72</v>
      </c>
      <c r="E14" s="41" t="n">
        <f aca="false">AR_Beg_AUM*Wt_Cash*(1+Ret_Cash)</f>
        <v>15079.0092036583</v>
      </c>
      <c r="F14" s="41" t="n">
        <f aca="false">AR_Beg_AUM*Wt_Cash*(1+Ret_Cash)</f>
        <v>16316.3766736809</v>
      </c>
      <c r="G14" s="41" t="n">
        <f aca="false">AR_Beg_AUM*Wt_Cash*(1+Ret_Cash)</f>
        <v>17633.9075773343</v>
      </c>
      <c r="H14" s="41" t="n">
        <f aca="false">AR_Beg_AUM*Wt_Cash*(1+Ret_Cash)</f>
        <v>19034.5723694921</v>
      </c>
      <c r="I14" s="41" t="n">
        <f aca="false">AR_Beg_AUM*Wt_Cash*(1+Ret_Cash)</f>
        <v>20521.6742644307</v>
      </c>
      <c r="J14" s="41" t="n">
        <f aca="false">AR_Beg_AUM*Wt_Cash*(1+Ret_Cash)</f>
        <v>22098.7551179914</v>
      </c>
      <c r="K14" s="41" t="n">
        <f aca="false">AR_Beg_AUM*Wt_Cash*(1+Ret_Cash)</f>
        <v>23769.4758684636</v>
      </c>
      <c r="L14" s="41" t="n">
        <f aca="false">AR_Beg_AUM*Wt_Cash*(1+Ret_Cash)</f>
        <v>25537.6149666391</v>
      </c>
    </row>
    <row r="15" customFormat="false" ht="15" hidden="false" customHeight="false" outlineLevel="0" collapsed="false">
      <c r="A15" s="5"/>
      <c r="B15" s="5"/>
      <c r="C15" s="5"/>
      <c r="D15" s="5"/>
      <c r="E15" s="5"/>
      <c r="F15" s="5"/>
      <c r="G15" s="5"/>
      <c r="H15" s="5"/>
      <c r="I15" s="5"/>
      <c r="J15" s="5"/>
      <c r="K15" s="5"/>
      <c r="L15" s="5"/>
    </row>
    <row r="16" customFormat="false" ht="15" hidden="false" customHeight="false" outlineLevel="0" collapsed="false">
      <c r="A16" s="5"/>
      <c r="B16" s="37" t="s">
        <v>182</v>
      </c>
      <c r="C16" s="10"/>
      <c r="D16" s="10"/>
      <c r="E16" s="10"/>
      <c r="F16" s="10"/>
      <c r="G16" s="10"/>
      <c r="H16" s="10"/>
      <c r="I16" s="10"/>
      <c r="J16" s="10"/>
      <c r="K16" s="10"/>
      <c r="L16" s="10"/>
    </row>
    <row r="17" customFormat="false" ht="15" hidden="false" customHeight="false" outlineLevel="0" collapsed="false">
      <c r="A17" s="5"/>
      <c r="B17" s="32" t="s">
        <v>68</v>
      </c>
      <c r="C17" s="41" t="n">
        <f aca="false">C6*Wt_Pub_Eq</f>
        <v>102782.4</v>
      </c>
      <c r="D17" s="41" t="n">
        <f aca="false">D6*Wt_Pub_Eq</f>
        <v>111262.592182333</v>
      </c>
      <c r="E17" s="41" t="n">
        <f aca="false">E6*Wt_Pub_Eq</f>
        <v>120392.682252403</v>
      </c>
      <c r="F17" s="41" t="n">
        <f aca="false">F6*Wt_Pub_Eq</f>
        <v>130114.269502661</v>
      </c>
      <c r="G17" s="41" t="n">
        <f aca="false">G6*Wt_Pub_Eq</f>
        <v>140449.271852563</v>
      </c>
      <c r="H17" s="41" t="n">
        <f aca="false">H6*Wt_Pub_Eq</f>
        <v>151422.062533663</v>
      </c>
      <c r="I17" s="41" t="n">
        <f aca="false">I6*Wt_Pub_Eq</f>
        <v>163058.775627898</v>
      </c>
      <c r="J17" s="41" t="n">
        <f aca="false">J6*Wt_Pub_Eq</f>
        <v>175386.423883809</v>
      </c>
      <c r="K17" s="41" t="n">
        <f aca="false">K6*Wt_Pub_Eq</f>
        <v>188432.887132483</v>
      </c>
      <c r="L17" s="41" t="n">
        <f aca="false">L6*Wt_Pub_Eq</f>
        <v>202226.917647021</v>
      </c>
    </row>
    <row r="18" customFormat="false" ht="15" hidden="false" customHeight="false" outlineLevel="0" collapsed="false">
      <c r="A18" s="5"/>
      <c r="B18" s="32" t="s">
        <v>70</v>
      </c>
      <c r="C18" s="41" t="n">
        <f aca="false">C6*Wt_FI</f>
        <v>59505.6</v>
      </c>
      <c r="D18" s="41" t="n">
        <f aca="false">D6*Wt_FI</f>
        <v>64415.1849476667</v>
      </c>
      <c r="E18" s="41" t="n">
        <f aca="false">E6*Wt_FI</f>
        <v>69701.0265671806</v>
      </c>
      <c r="F18" s="41" t="n">
        <f aca="false">F6*Wt_FI</f>
        <v>75329.3139225933</v>
      </c>
      <c r="G18" s="41" t="n">
        <f aca="false">G6*Wt_FI</f>
        <v>81312.7363356943</v>
      </c>
      <c r="H18" s="41" t="n">
        <f aca="false">H6*Wt_FI</f>
        <v>87665.4046247525</v>
      </c>
      <c r="I18" s="41" t="n">
        <f aca="false">I6*Wt_FI</f>
        <v>94402.4490477304</v>
      </c>
      <c r="J18" s="41" t="n">
        <f aca="false">J6*Wt_FI</f>
        <v>101539.50856431</v>
      </c>
      <c r="K18" s="41" t="n">
        <f aca="false">K6*Wt_FI</f>
        <v>109092.724129332</v>
      </c>
      <c r="L18" s="41" t="n">
        <f aca="false">L6*Wt_FI</f>
        <v>117078.741795644</v>
      </c>
    </row>
    <row r="19" customFormat="false" ht="15" hidden="false" customHeight="false" outlineLevel="0" collapsed="false">
      <c r="A19" s="5"/>
      <c r="B19" s="32" t="s">
        <v>72</v>
      </c>
      <c r="C19" s="41" t="n">
        <f aca="false">C6*Wt_PE</f>
        <v>40572</v>
      </c>
      <c r="D19" s="41" t="n">
        <f aca="false">D6*Wt_PE</f>
        <v>43919.4442825</v>
      </c>
      <c r="E19" s="41" t="n">
        <f aca="false">E6*Wt_PE</f>
        <v>47523.4272048959</v>
      </c>
      <c r="F19" s="41" t="n">
        <f aca="false">F6*Wt_PE</f>
        <v>51360.8958563136</v>
      </c>
      <c r="G19" s="41" t="n">
        <f aca="false">G6*Wt_PE</f>
        <v>55440.5020470643</v>
      </c>
      <c r="H19" s="41" t="n">
        <f aca="false">H6*Wt_PE</f>
        <v>59771.866789604</v>
      </c>
      <c r="I19" s="41" t="n">
        <f aca="false">I6*Wt_PE</f>
        <v>64365.3061689071</v>
      </c>
      <c r="J19" s="41" t="n">
        <f aca="false">J6*Wt_PE</f>
        <v>69231.4831120298</v>
      </c>
      <c r="K19" s="41" t="n">
        <f aca="false">K6*Wt_PE</f>
        <v>74381.4028154536</v>
      </c>
      <c r="L19" s="41" t="n">
        <f aca="false">L6*Wt_PE</f>
        <v>79826.4148606664</v>
      </c>
    </row>
    <row r="20" customFormat="false" ht="15" hidden="false" customHeight="false" outlineLevel="0" collapsed="false">
      <c r="A20" s="5"/>
      <c r="B20" s="32" t="s">
        <v>74</v>
      </c>
      <c r="C20" s="41" t="n">
        <f aca="false">C6*Wt_RE</f>
        <v>27048</v>
      </c>
      <c r="D20" s="41" t="n">
        <f aca="false">D6*Wt_RE</f>
        <v>29279.6295216667</v>
      </c>
      <c r="E20" s="41" t="n">
        <f aca="false">E6*Wt_RE</f>
        <v>31682.2848032639</v>
      </c>
      <c r="F20" s="41" t="n">
        <f aca="false">F6*Wt_RE</f>
        <v>34240.5972375424</v>
      </c>
      <c r="G20" s="41" t="n">
        <f aca="false">G6*Wt_RE</f>
        <v>36960.3346980429</v>
      </c>
      <c r="H20" s="41" t="n">
        <f aca="false">H6*Wt_RE</f>
        <v>39847.9111930693</v>
      </c>
      <c r="I20" s="41" t="n">
        <f aca="false">I6*Wt_RE</f>
        <v>42910.2041126047</v>
      </c>
      <c r="J20" s="41" t="n">
        <f aca="false">J6*Wt_RE</f>
        <v>46154.3220746865</v>
      </c>
      <c r="K20" s="41" t="n">
        <f aca="false">K6*Wt_RE</f>
        <v>49587.6018769691</v>
      </c>
      <c r="L20" s="41" t="n">
        <f aca="false">L6*Wt_RE</f>
        <v>53217.6099071109</v>
      </c>
    </row>
    <row r="21" customFormat="false" ht="15" hidden="false" customHeight="false" outlineLevel="0" collapsed="false">
      <c r="A21" s="5"/>
      <c r="B21" s="32" t="s">
        <v>76</v>
      </c>
      <c r="C21" s="41" t="n">
        <f aca="false">C6*Wt_Infra</f>
        <v>27048</v>
      </c>
      <c r="D21" s="41" t="n">
        <f aca="false">D6*Wt_Infra</f>
        <v>29279.6295216667</v>
      </c>
      <c r="E21" s="41" t="n">
        <f aca="false">E6*Wt_Infra</f>
        <v>31682.2848032639</v>
      </c>
      <c r="F21" s="41" t="n">
        <f aca="false">F6*Wt_Infra</f>
        <v>34240.5972375424</v>
      </c>
      <c r="G21" s="41" t="n">
        <f aca="false">G6*Wt_Infra</f>
        <v>36960.3346980429</v>
      </c>
      <c r="H21" s="41" t="n">
        <f aca="false">H6*Wt_Infra</f>
        <v>39847.9111930693</v>
      </c>
      <c r="I21" s="41" t="n">
        <f aca="false">I6*Wt_Infra</f>
        <v>42910.2041126047</v>
      </c>
      <c r="J21" s="41" t="n">
        <f aca="false">J6*Wt_Infra</f>
        <v>46154.3220746865</v>
      </c>
      <c r="K21" s="41" t="n">
        <f aca="false">K6*Wt_Infra</f>
        <v>49587.6018769691</v>
      </c>
      <c r="L21" s="41" t="n">
        <f aca="false">L6*Wt_Infra</f>
        <v>53217.6099071109</v>
      </c>
    </row>
    <row r="22" customFormat="false" ht="15" hidden="false" customHeight="false" outlineLevel="0" collapsed="false">
      <c r="A22" s="5"/>
      <c r="B22" s="32" t="s">
        <v>78</v>
      </c>
      <c r="C22" s="41" t="n">
        <f aca="false">C6*Wt_Cash</f>
        <v>13524</v>
      </c>
      <c r="D22" s="41" t="n">
        <f aca="false">D6*Wt_Cash</f>
        <v>14639.8147608333</v>
      </c>
      <c r="E22" s="41" t="n">
        <f aca="false">E6*Wt_Cash</f>
        <v>15841.142401632</v>
      </c>
      <c r="F22" s="41" t="n">
        <f aca="false">F6*Wt_Cash</f>
        <v>17120.2986187712</v>
      </c>
      <c r="G22" s="41" t="n">
        <f aca="false">G6*Wt_Cash</f>
        <v>18480.1673490214</v>
      </c>
      <c r="H22" s="41" t="n">
        <f aca="false">H6*Wt_Cash</f>
        <v>19923.9555965347</v>
      </c>
      <c r="I22" s="41" t="n">
        <f aca="false">I6*Wt_Cash</f>
        <v>21455.1020563024</v>
      </c>
      <c r="J22" s="41" t="n">
        <f aca="false">J6*Wt_Cash</f>
        <v>23077.1610373433</v>
      </c>
      <c r="K22" s="41" t="n">
        <f aca="false">K6*Wt_Cash</f>
        <v>24793.8009384845</v>
      </c>
      <c r="L22" s="41" t="n">
        <f aca="false">L6*Wt_Cash</f>
        <v>26608.8049535555</v>
      </c>
    </row>
    <row r="23" customFormat="false" ht="15" hidden="false" customHeight="false" outlineLevel="0" collapsed="false">
      <c r="A23" s="5"/>
      <c r="B23" s="5"/>
      <c r="C23" s="5"/>
      <c r="D23" s="5"/>
      <c r="E23" s="5"/>
      <c r="F23" s="5"/>
      <c r="G23" s="5"/>
      <c r="H23" s="5"/>
      <c r="I23" s="5"/>
      <c r="J23" s="5"/>
      <c r="K23" s="5"/>
      <c r="L23" s="5"/>
    </row>
    <row r="24" customFormat="false" ht="15" hidden="false" customHeight="false" outlineLevel="0" collapsed="false">
      <c r="A24" s="5"/>
      <c r="B24" s="37" t="s">
        <v>183</v>
      </c>
      <c r="C24" s="10"/>
      <c r="D24" s="10"/>
      <c r="E24" s="10"/>
      <c r="F24" s="10"/>
      <c r="G24" s="10"/>
      <c r="H24" s="10"/>
      <c r="I24" s="10"/>
      <c r="J24" s="10"/>
      <c r="K24" s="10"/>
      <c r="L24" s="10"/>
    </row>
    <row r="25" customFormat="false" ht="15" hidden="false" customHeight="false" outlineLevel="0" collapsed="false">
      <c r="A25" s="5"/>
      <c r="B25" s="32" t="s">
        <v>68</v>
      </c>
      <c r="C25" s="41" t="n">
        <f aca="false">C17-C9</f>
        <v>657.399999999994</v>
      </c>
      <c r="D25" s="41" t="n">
        <f aca="false">D17-D9</f>
        <v>771.512182333347</v>
      </c>
      <c r="E25" s="41" t="n">
        <f aca="false">E17-E9</f>
        <v>785.395656394496</v>
      </c>
      <c r="F25" s="41" t="n">
        <f aca="false">F17-F9</f>
        <v>692.136081328048</v>
      </c>
      <c r="G25" s="41" t="n">
        <f aca="false">G17-G9</f>
        <v>576.432137202181</v>
      </c>
      <c r="H25" s="41" t="n">
        <f aca="false">H17-H9</f>
        <v>439.095292158396</v>
      </c>
      <c r="I25" s="41" t="n">
        <f aca="false">I17-I9</f>
        <v>280.058404209791</v>
      </c>
      <c r="J25" s="41" t="n">
        <f aca="false">J17-J9</f>
        <v>98.2400838184694</v>
      </c>
      <c r="K25" s="41" t="n">
        <f aca="false">K17-K9</f>
        <v>-107.518542611942</v>
      </c>
      <c r="L25" s="41" t="n">
        <f aca="false">L17-L9</f>
        <v>-338.436020397261</v>
      </c>
    </row>
    <row r="26" customFormat="false" ht="15" hidden="false" customHeight="false" outlineLevel="0" collapsed="false">
      <c r="A26" s="5"/>
      <c r="B26" s="32" t="s">
        <v>70</v>
      </c>
      <c r="C26" s="41" t="n">
        <f aca="false">C18-C10</f>
        <v>2305.6</v>
      </c>
      <c r="D26" s="41" t="n">
        <f aca="false">D18-D10</f>
        <v>2529.36094766666</v>
      </c>
      <c r="E26" s="41" t="n">
        <f aca="false">E18-E10</f>
        <v>2709.23422160726</v>
      </c>
      <c r="F26" s="41" t="n">
        <f aca="false">F18-F10</f>
        <v>2840.24629272544</v>
      </c>
      <c r="G26" s="41" t="n">
        <f aca="false">G18-G10</f>
        <v>2970.24985619728</v>
      </c>
      <c r="H26" s="41" t="n">
        <f aca="false">H18-H10</f>
        <v>3100.15883563049</v>
      </c>
      <c r="I26" s="41" t="n">
        <f aca="false">I18-I10</f>
        <v>3230.42823798778</v>
      </c>
      <c r="J26" s="41" t="n">
        <f aca="false">J18-J10</f>
        <v>3360.96155467071</v>
      </c>
      <c r="K26" s="41" t="n">
        <f aca="false">K18-K10</f>
        <v>3491.63522244922</v>
      </c>
      <c r="L26" s="41" t="n">
        <f aca="false">L18-L10</f>
        <v>3622.30870113874</v>
      </c>
    </row>
    <row r="27" customFormat="false" ht="15" hidden="false" customHeight="false" outlineLevel="0" collapsed="false">
      <c r="A27" s="5"/>
      <c r="B27" s="32" t="s">
        <v>72</v>
      </c>
      <c r="C27" s="41" t="n">
        <f aca="false">C19-C11</f>
        <v>-1428.00000000001</v>
      </c>
      <c r="D27" s="41" t="n">
        <f aca="false">D19-D11</f>
        <v>-1521.19571750001</v>
      </c>
      <c r="E27" s="41" t="n">
        <f aca="false">E19-E11</f>
        <v>-1666.35039150414</v>
      </c>
      <c r="F27" s="41" t="n">
        <f aca="false">F19-F11</f>
        <v>-1865.34261316978</v>
      </c>
      <c r="G27" s="41" t="n">
        <f aca="false">G19-G11</f>
        <v>-2083.70131200695</v>
      </c>
      <c r="H27" s="41" t="n">
        <f aca="false">H19-H11</f>
        <v>-2321.495503108</v>
      </c>
      <c r="I27" s="41" t="n">
        <f aca="false">I19-I11</f>
        <v>-2579.18463544936</v>
      </c>
      <c r="J27" s="41" t="n">
        <f aca="false">J19-J11</f>
        <v>-2857.65979714617</v>
      </c>
      <c r="K27" s="41" t="n">
        <f aca="false">K19-K11</f>
        <v>-3157.85827001974</v>
      </c>
      <c r="L27" s="41" t="n">
        <f aca="false">L19-L11</f>
        <v>-3480.7562926417</v>
      </c>
    </row>
    <row r="28" customFormat="false" ht="15" hidden="false" customHeight="false" outlineLevel="0" collapsed="false">
      <c r="A28" s="5"/>
      <c r="B28" s="32" t="s">
        <v>74</v>
      </c>
      <c r="C28" s="41" t="n">
        <f aca="false">C20-C12</f>
        <v>298</v>
      </c>
      <c r="D28" s="41" t="n">
        <f aca="false">D20-D12</f>
        <v>338.269521666665</v>
      </c>
      <c r="E28" s="41" t="n">
        <f aca="false">E20-E12</f>
        <v>353.081215080569</v>
      </c>
      <c r="F28" s="41" t="n">
        <f aca="false">F20-F12</f>
        <v>340.552498050012</v>
      </c>
      <c r="G28" s="41" t="n">
        <f aca="false">G20-G12</f>
        <v>322.895653872496</v>
      </c>
      <c r="H28" s="41" t="n">
        <f aca="false">H20-H12</f>
        <v>300.35306616348</v>
      </c>
      <c r="I28" s="41" t="n">
        <f aca="false">I20-I12</f>
        <v>272.939136020555</v>
      </c>
      <c r="J28" s="41" t="n">
        <f aca="false">J20-J12</f>
        <v>240.40367419945</v>
      </c>
      <c r="K28" s="41" t="n">
        <f aca="false">K20-K12</f>
        <v>202.477257054503</v>
      </c>
      <c r="L28" s="41" t="n">
        <f aca="false">L20-L12</f>
        <v>158.875898753991</v>
      </c>
    </row>
    <row r="29" customFormat="false" ht="15" hidden="false" customHeight="false" outlineLevel="0" collapsed="false">
      <c r="A29" s="5"/>
      <c r="B29" s="32" t="s">
        <v>76</v>
      </c>
      <c r="C29" s="41" t="n">
        <f aca="false">C21-C13</f>
        <v>48</v>
      </c>
      <c r="D29" s="41" t="n">
        <f aca="false">D21-D13</f>
        <v>67.7895216666657</v>
      </c>
      <c r="E29" s="41" t="n">
        <f aca="false">E21-E13</f>
        <v>60.2849198639015</v>
      </c>
      <c r="F29" s="41" t="n">
        <f aca="false">F21-F13</f>
        <v>23.7296500173688</v>
      </c>
      <c r="G29" s="41" t="n">
        <f aca="false">G21-G13</f>
        <v>-19.5103185029293</v>
      </c>
      <c r="H29" s="41" t="n">
        <f aca="false">H21-H13</f>
        <v>-69.250280816952</v>
      </c>
      <c r="I29" s="41" t="n">
        <f aca="false">I21-I13</f>
        <v>-125.539975910142</v>
      </c>
      <c r="J29" s="41" t="n">
        <f aca="false">J21-J13</f>
        <v>-188.698366926597</v>
      </c>
      <c r="K29" s="41" t="n">
        <f aca="false">K21-K13</f>
        <v>-259.065963692367</v>
      </c>
      <c r="L29" s="41" t="n">
        <f aca="false">L21-L13</f>
        <v>-337.000120015706</v>
      </c>
    </row>
    <row r="30" customFormat="false" ht="15" hidden="false" customHeight="false" outlineLevel="0" collapsed="false">
      <c r="A30" s="5"/>
      <c r="B30" s="32" t="s">
        <v>78</v>
      </c>
      <c r="C30" s="41" t="n">
        <f aca="false">C22-C14</f>
        <v>649</v>
      </c>
      <c r="D30" s="41" t="n">
        <f aca="false">D22-D14</f>
        <v>710.094760833332</v>
      </c>
      <c r="E30" s="41" t="n">
        <f aca="false">E22-E14</f>
        <v>762.133197973617</v>
      </c>
      <c r="F30" s="41" t="n">
        <f aca="false">F22-F14</f>
        <v>803.921945090284</v>
      </c>
      <c r="G30" s="41" t="n">
        <f aca="false">G22-G14</f>
        <v>846.259771687095</v>
      </c>
      <c r="H30" s="41" t="n">
        <f aca="false">H22-H14</f>
        <v>889.383227042596</v>
      </c>
      <c r="I30" s="41" t="n">
        <f aca="false">I22-I14</f>
        <v>933.427791871665</v>
      </c>
      <c r="J30" s="41" t="n">
        <f aca="false">J22-J14</f>
        <v>978.405919351822</v>
      </c>
      <c r="K30" s="41" t="n">
        <f aca="false">K22-K14</f>
        <v>1024.32507002098</v>
      </c>
      <c r="L30" s="41" t="n">
        <f aca="false">L22-L14</f>
        <v>1071.18998691638</v>
      </c>
    </row>
    <row r="31" customFormat="false" ht="15" hidden="false" customHeight="false" outlineLevel="0" collapsed="false">
      <c r="A31" s="5"/>
      <c r="B31" s="5"/>
      <c r="C31" s="5"/>
      <c r="D31" s="5"/>
      <c r="E31" s="5"/>
      <c r="F31" s="5"/>
      <c r="G31" s="5"/>
      <c r="H31" s="5"/>
      <c r="I31" s="5"/>
      <c r="J31" s="5"/>
      <c r="K31" s="5"/>
      <c r="L31" s="5"/>
    </row>
    <row r="32" customFormat="false" ht="15" hidden="false" customHeight="false" outlineLevel="0" collapsed="false">
      <c r="A32" s="5"/>
      <c r="B32" s="34" t="s">
        <v>184</v>
      </c>
      <c r="C32" s="45" t="n">
        <f aca="false">SUM(C25:C30)</f>
        <v>2529.99999999999</v>
      </c>
      <c r="D32" s="45" t="n">
        <f aca="false">SUM(D25:D30)</f>
        <v>2895.83121666666</v>
      </c>
      <c r="E32" s="45" t="n">
        <f aca="false">SUM(E25:E30)</f>
        <v>3003.7788194157</v>
      </c>
      <c r="F32" s="45" t="n">
        <f aca="false">SUM(F25:F30)</f>
        <v>2835.24385404137</v>
      </c>
      <c r="G32" s="45" t="n">
        <f aca="false">SUM(G25:G30)</f>
        <v>2612.62578844917</v>
      </c>
      <c r="H32" s="45" t="n">
        <f aca="false">SUM(H25:H30)</f>
        <v>2338.24463707</v>
      </c>
      <c r="I32" s="45" t="n">
        <f aca="false">SUM(I25:I30)</f>
        <v>2012.12895873029</v>
      </c>
      <c r="J32" s="45" t="n">
        <f aca="false">SUM(J25:J30)</f>
        <v>1631.65306796768</v>
      </c>
      <c r="K32" s="45" t="n">
        <f aca="false">SUM(K25:K30)</f>
        <v>1193.99477320065</v>
      </c>
      <c r="L32" s="45" t="n">
        <f aca="false">SUM(L25:L30)</f>
        <v>696.182153754438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L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6"/>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8" t="s">
        <v>185</v>
      </c>
      <c r="C2" s="5"/>
      <c r="D2" s="5"/>
      <c r="E2" s="5"/>
      <c r="F2" s="5"/>
      <c r="G2" s="5"/>
      <c r="H2" s="5"/>
      <c r="I2" s="5"/>
      <c r="J2" s="5"/>
      <c r="K2" s="5"/>
      <c r="L2" s="5"/>
    </row>
    <row r="3" customFormat="false" ht="15" hidden="false" customHeight="false" outlineLevel="0" collapsed="false">
      <c r="A3" s="5"/>
      <c r="B3" s="29" t="s">
        <v>30</v>
      </c>
      <c r="C3" s="5"/>
      <c r="D3" s="5"/>
      <c r="E3" s="5"/>
      <c r="F3" s="5"/>
      <c r="G3" s="5"/>
      <c r="H3" s="5"/>
      <c r="I3" s="5"/>
      <c r="J3" s="5"/>
      <c r="K3" s="5"/>
      <c r="L3" s="5"/>
    </row>
    <row r="4" customFormat="false" ht="15" hidden="false" customHeight="false" outlineLevel="0" collapsed="false">
      <c r="A4" s="5"/>
      <c r="B4" s="30" t="s">
        <v>140</v>
      </c>
      <c r="C4" s="38" t="n">
        <f aca="false">Model_Start_Year+COLUMN()-3</f>
        <v>2025</v>
      </c>
      <c r="D4" s="38" t="n">
        <f aca="false">Model_Start_Year+COLUMN()-3</f>
        <v>2026</v>
      </c>
      <c r="E4" s="38" t="n">
        <f aca="false">Model_Start_Year+COLUMN()-3</f>
        <v>2027</v>
      </c>
      <c r="F4" s="38" t="n">
        <f aca="false">Model_Start_Year+COLUMN()-3</f>
        <v>2028</v>
      </c>
      <c r="G4" s="38" t="n">
        <f aca="false">Model_Start_Year+COLUMN()-3</f>
        <v>2029</v>
      </c>
      <c r="H4" s="38" t="n">
        <f aca="false">Model_Start_Year+COLUMN()-3</f>
        <v>2030</v>
      </c>
      <c r="I4" s="38" t="n">
        <f aca="false">Model_Start_Year+COLUMN()-3</f>
        <v>2031</v>
      </c>
      <c r="J4" s="38" t="n">
        <f aca="false">Model_Start_Year+COLUMN()-3</f>
        <v>2032</v>
      </c>
      <c r="K4" s="38" t="n">
        <f aca="false">Model_Start_Year+COLUMN()-3</f>
        <v>2033</v>
      </c>
      <c r="L4" s="38" t="n">
        <f aca="false">Model_Start_Year+COLUMN()-3</f>
        <v>2034</v>
      </c>
    </row>
    <row r="5" customFormat="false" ht="15" hidden="false" customHeight="false" outlineLevel="0" collapsed="false">
      <c r="A5" s="5"/>
      <c r="B5" s="5"/>
      <c r="C5" s="5"/>
      <c r="D5" s="5"/>
      <c r="E5" s="5"/>
      <c r="F5" s="5"/>
      <c r="G5" s="5"/>
      <c r="H5" s="5"/>
      <c r="I5" s="5"/>
      <c r="J5" s="5"/>
      <c r="K5" s="5"/>
      <c r="L5" s="5"/>
    </row>
    <row r="6" customFormat="false" ht="15" hidden="false" customHeight="false" outlineLevel="0" collapsed="false">
      <c r="A6" s="5"/>
      <c r="B6" s="7" t="s">
        <v>186</v>
      </c>
      <c r="C6" s="46" t="n">
        <f aca="false">IFERROR(AR_Net_Ret/AR_Beg_AUM,0)</f>
        <v>0.06293</v>
      </c>
      <c r="D6" s="46" t="n">
        <f aca="false">IFERROR(AR_Net_Ret/AR_Beg_AUM,0)</f>
        <v>0.062885</v>
      </c>
      <c r="E6" s="46" t="n">
        <f aca="false">IFERROR(AR_Net_Ret/AR_Beg_AUM,0)</f>
        <v>0.06283865</v>
      </c>
      <c r="F6" s="46" t="n">
        <f aca="false">IFERROR(AR_Net_Ret/AR_Beg_AUM,0)</f>
        <v>0.0627909095</v>
      </c>
      <c r="G6" s="46" t="n">
        <f aca="false">IFERROR(AR_Net_Ret/AR_Beg_AUM,0)</f>
        <v>0.062741736785</v>
      </c>
      <c r="H6" s="46" t="n">
        <f aca="false">IFERROR(AR_Net_Ret/AR_Beg_AUM,0)</f>
        <v>0.06269108888855</v>
      </c>
      <c r="I6" s="46" t="n">
        <f aca="false">IFERROR(AR_Net_Ret/AR_Beg_AUM,0)</f>
        <v>0.0626389215552065</v>
      </c>
      <c r="J6" s="46" t="n">
        <f aca="false">IFERROR(AR_Net_Ret/AR_Beg_AUM,0)</f>
        <v>0.0625851892018627</v>
      </c>
      <c r="K6" s="46" t="n">
        <f aca="false">IFERROR(AR_Net_Ret/AR_Beg_AUM,0)</f>
        <v>0.0625298448779186</v>
      </c>
      <c r="L6" s="46" t="n">
        <f aca="false">IFERROR(AR_Net_Ret/AR_Beg_AUM,0)</f>
        <v>0.0624728402242561</v>
      </c>
    </row>
    <row r="7" customFormat="false" ht="15" hidden="false" customHeight="false" outlineLevel="0" collapsed="false">
      <c r="A7" s="5"/>
      <c r="B7" s="7" t="s">
        <v>187</v>
      </c>
      <c r="C7" s="46" t="n">
        <f aca="false">(1+C6)/(1+Inflation_Rate)-1</f>
        <v>0.0370048780487806</v>
      </c>
      <c r="D7" s="46" t="n">
        <f aca="false">(1+D6)/(1+Inflation_Rate)-1</f>
        <v>0.0369609756097562</v>
      </c>
      <c r="E7" s="46" t="n">
        <f aca="false">(1+E6)/(1+Inflation_Rate)-1</f>
        <v>0.036915756097561</v>
      </c>
      <c r="F7" s="46" t="n">
        <f aca="false">(1+F6)/(1+Inflation_Rate)-1</f>
        <v>0.0368691800000001</v>
      </c>
      <c r="G7" s="46" t="n">
        <f aca="false">(1+G6)/(1+Inflation_Rate)-1</f>
        <v>0.0368212066195124</v>
      </c>
      <c r="H7" s="46" t="n">
        <f aca="false">(1+H6)/(1+Inflation_Rate)-1</f>
        <v>0.0367717940376098</v>
      </c>
      <c r="I7" s="46" t="n">
        <f aca="false">(1+I6)/(1+Inflation_Rate)-1</f>
        <v>0.0367208990782504</v>
      </c>
      <c r="J7" s="46" t="n">
        <f aca="false">(1+J6)/(1+Inflation_Rate)-1</f>
        <v>0.03666847727011</v>
      </c>
      <c r="K7" s="46" t="n">
        <f aca="false">(1+K6)/(1+Inflation_Rate)-1</f>
        <v>0.0366144828077255</v>
      </c>
      <c r="L7" s="46" t="n">
        <f aca="false">(1+L6)/(1+Inflation_Rate)-1</f>
        <v>0.0365588685114695</v>
      </c>
    </row>
    <row r="8" customFormat="false" ht="15" hidden="false" customHeight="false" outlineLevel="0" collapsed="false">
      <c r="A8" s="5"/>
      <c r="B8" s="7" t="s">
        <v>188</v>
      </c>
      <c r="C8" s="46" t="n">
        <f aca="false">IFERROR((AR_End_AUM-AR_Beg_AUM)/AR_Beg_AUM,0)</f>
        <v>0.08192</v>
      </c>
      <c r="D8" s="46" t="n">
        <f aca="false">IFERROR((AR_End_AUM-AR_Beg_AUM)/AR_Beg_AUM,0)</f>
        <v>0.0825062674381346</v>
      </c>
      <c r="E8" s="46" t="n">
        <f aca="false">IFERROR((AR_End_AUM-AR_Beg_AUM)/AR_Beg_AUM,0)</f>
        <v>0.0820589372491647</v>
      </c>
      <c r="F8" s="46" t="n">
        <f aca="false">IFERROR((AR_End_AUM-AR_Beg_AUM)/AR_Beg_AUM,0)</f>
        <v>0.0807489879648746</v>
      </c>
      <c r="G8" s="46" t="n">
        <f aca="false">IFERROR((AR_End_AUM-AR_Beg_AUM)/AR_Beg_AUM,0)</f>
        <v>0.0794301992349147</v>
      </c>
      <c r="H8" s="46" t="n">
        <f aca="false">IFERROR((AR_End_AUM-AR_Beg_AUM)/AR_Beg_AUM,0)</f>
        <v>0.0781263621830617</v>
      </c>
      <c r="I8" s="46" t="n">
        <f aca="false">IFERROR((AR_End_AUM-AR_Beg_AUM)/AR_Beg_AUM,0)</f>
        <v>0.0768495217904428</v>
      </c>
      <c r="J8" s="46" t="n">
        <f aca="false">IFERROR((AR_End_AUM-AR_Beg_AUM)/AR_Beg_AUM,0)</f>
        <v>0.0756024826535104</v>
      </c>
      <c r="K8" s="46" t="n">
        <f aca="false">IFERROR((AR_End_AUM-AR_Beg_AUM)/AR_Beg_AUM,0)</f>
        <v>0.0743869619995036</v>
      </c>
      <c r="L8" s="46" t="n">
        <f aca="false">IFERROR((AR_End_AUM-AR_Beg_AUM)/AR_Beg_AUM,0)</f>
        <v>0.0732039439847923</v>
      </c>
    </row>
    <row r="9" customFormat="false" ht="15" hidden="false" customHeight="false" outlineLevel="0" collapsed="false">
      <c r="A9" s="5"/>
      <c r="B9" s="5"/>
      <c r="C9" s="5"/>
      <c r="D9" s="5"/>
      <c r="E9" s="5"/>
      <c r="F9" s="5"/>
      <c r="G9" s="5"/>
      <c r="H9" s="5"/>
      <c r="I9" s="5"/>
      <c r="J9" s="5"/>
      <c r="K9" s="5"/>
      <c r="L9" s="5"/>
    </row>
    <row r="10" customFormat="false" ht="15" hidden="false" customHeight="false" outlineLevel="0" collapsed="false">
      <c r="A10" s="5"/>
      <c r="B10" s="7" t="s">
        <v>161</v>
      </c>
      <c r="C10" s="46" t="n">
        <f aca="false">FS_TER</f>
        <v>0.00887</v>
      </c>
      <c r="D10" s="46" t="n">
        <f aca="false">FS_TER</f>
        <v>0.008915</v>
      </c>
      <c r="E10" s="46" t="n">
        <f aca="false">FS_TER</f>
        <v>0.00896135</v>
      </c>
      <c r="F10" s="46" t="n">
        <f aca="false">FS_TER</f>
        <v>0.0090090905</v>
      </c>
      <c r="G10" s="46" t="n">
        <f aca="false">FS_TER</f>
        <v>0.009058263215</v>
      </c>
      <c r="H10" s="46" t="n">
        <f aca="false">FS_TER</f>
        <v>0.00910891111145</v>
      </c>
      <c r="I10" s="46" t="n">
        <f aca="false">FS_TER</f>
        <v>0.0091610784447935</v>
      </c>
      <c r="J10" s="46" t="n">
        <f aca="false">FS_TER</f>
        <v>0.00921481079813731</v>
      </c>
      <c r="K10" s="46" t="n">
        <f aca="false">FS_TER</f>
        <v>0.00927015512208143</v>
      </c>
      <c r="L10" s="46" t="n">
        <f aca="false">FS_TER</f>
        <v>0.00932715977574387</v>
      </c>
    </row>
    <row r="11" customFormat="false" ht="15" hidden="false" customHeight="false" outlineLevel="0" collapsed="false">
      <c r="A11" s="5"/>
      <c r="B11" s="5"/>
      <c r="C11" s="5"/>
      <c r="D11" s="5"/>
      <c r="E11" s="5"/>
      <c r="F11" s="5"/>
      <c r="G11" s="5"/>
      <c r="H11" s="5"/>
      <c r="I11" s="5"/>
      <c r="J11" s="5"/>
      <c r="K11" s="5"/>
      <c r="L11" s="5"/>
    </row>
    <row r="12" customFormat="false" ht="15" hidden="false" customHeight="false" outlineLevel="0" collapsed="false">
      <c r="A12" s="5"/>
      <c r="B12" s="37" t="s">
        <v>189</v>
      </c>
      <c r="C12" s="10"/>
      <c r="D12" s="10"/>
      <c r="E12" s="10"/>
      <c r="F12" s="10"/>
      <c r="G12" s="10"/>
      <c r="H12" s="10"/>
      <c r="I12" s="10"/>
      <c r="J12" s="10"/>
      <c r="K12" s="10"/>
      <c r="L12" s="10"/>
    </row>
    <row r="13" customFormat="false" ht="15" hidden="false" customHeight="false" outlineLevel="0" collapsed="false">
      <c r="A13" s="5"/>
      <c r="B13" s="32" t="s">
        <v>190</v>
      </c>
      <c r="C13" s="41" t="n">
        <f aca="false">AUM_Rollforward!C8</f>
        <v>13497.5</v>
      </c>
      <c r="D13" s="41" t="n">
        <f aca="false">C13+AUM_Rollforward!D8</f>
        <v>27793.59375</v>
      </c>
      <c r="E13" s="41" t="n">
        <f aca="false">D13+AUM_Rollforward!E8</f>
        <v>42909.44609375</v>
      </c>
      <c r="F13" s="41" t="n">
        <f aca="false">E13+AUM_Rollforward!F8</f>
        <v>58866.7989960937</v>
      </c>
      <c r="G13" s="41" t="n">
        <f aca="false">F13+AUM_Rollforward!G8</f>
        <v>75687.9878909961</v>
      </c>
      <c r="H13" s="41" t="n">
        <f aca="false">G13+AUM_Rollforward!H8</f>
        <v>93395.958515071</v>
      </c>
      <c r="I13" s="41" t="n">
        <f aca="false">H13+AUM_Rollforward!I8</f>
        <v>112014.28424182</v>
      </c>
      <c r="J13" s="41" t="n">
        <f aca="false">I13+AUM_Rollforward!J8</f>
        <v>131567.183932292</v>
      </c>
      <c r="K13" s="41" t="n">
        <f aca="false">J13+AUM_Rollforward!K8</f>
        <v>152079.540318403</v>
      </c>
      <c r="L13" s="41" t="n">
        <f aca="false">K13+AUM_Rollforward!L8</f>
        <v>173576.918935679</v>
      </c>
    </row>
    <row r="14" customFormat="false" ht="15" hidden="false" customHeight="false" outlineLevel="0" collapsed="false">
      <c r="A14" s="5"/>
      <c r="B14" s="32" t="s">
        <v>191</v>
      </c>
      <c r="C14" s="41" t="n">
        <f aca="false">AUM_Rollforward!C12</f>
        <v>-8750</v>
      </c>
      <c r="D14" s="41" t="n">
        <f aca="false">C14+AUM_Rollforward!D12</f>
        <v>-17738.9333333333</v>
      </c>
      <c r="E14" s="41" t="n">
        <f aca="false">D14+AUM_Rollforward!E12</f>
        <v>-27227.1567775278</v>
      </c>
      <c r="F14" s="41" t="n">
        <f aca="false">E14+AUM_Rollforward!F12</f>
        <v>-37494.9801154363</v>
      </c>
      <c r="G14" s="41" t="n">
        <f aca="false">F14+AUM_Rollforward!G12</f>
        <v>-48601.9397977249</v>
      </c>
      <c r="H14" s="41" t="n">
        <f aca="false">G14+AUM_Rollforward!H12</f>
        <v>-60604.9817505906</v>
      </c>
      <c r="I14" s="41" t="n">
        <f aca="false">H14+AUM_Rollforward!I12</f>
        <v>-73560.6801156003</v>
      </c>
      <c r="J14" s="41" t="n">
        <f aca="false">I14+AUM_Rollforward!J12</f>
        <v>-87527.8326160339</v>
      </c>
      <c r="K14" s="41" t="n">
        <f aca="false">J14+AUM_Rollforward!K12</f>
        <v>-102567.616977076</v>
      </c>
      <c r="L14" s="41" t="n">
        <f aca="false">K14+AUM_Rollforward!L12</f>
        <v>-118743.698584573</v>
      </c>
    </row>
    <row r="15" customFormat="false" ht="15" hidden="false" customHeight="false" outlineLevel="0" collapsed="false">
      <c r="A15" s="5"/>
      <c r="B15" s="32" t="s">
        <v>192</v>
      </c>
      <c r="C15" s="41" t="n">
        <f aca="false">AUM_Rollforward!C11</f>
        <v>15732.5</v>
      </c>
      <c r="D15" s="41" t="n">
        <f aca="false">C15+AUM_Rollforward!D11</f>
        <v>32741.6348</v>
      </c>
      <c r="E15" s="41" t="n">
        <f aca="false">D15+AUM_Rollforward!E11</f>
        <v>51140.5587164168</v>
      </c>
      <c r="F15" s="41" t="n">
        <f aca="false">E15+AUM_Rollforward!F11</f>
        <v>71034.1534947665</v>
      </c>
      <c r="G15" s="41" t="n">
        <f aca="false">F15+AUM_Rollforward!G11</f>
        <v>92517.2988871573</v>
      </c>
      <c r="H15" s="41" t="n">
        <f aca="false">G15+AUM_Rollforward!H11</f>
        <v>115688.135166213</v>
      </c>
      <c r="I15" s="41" t="n">
        <f aca="false">H15+AUM_Rollforward!I11</f>
        <v>140648.436999828</v>
      </c>
      <c r="J15" s="41" t="n">
        <f aca="false">I15+AUM_Rollforward!J11</f>
        <v>167503.869430607</v>
      </c>
      <c r="K15" s="41" t="n">
        <f aca="false">J15+AUM_Rollforward!K11</f>
        <v>196364.095428364</v>
      </c>
      <c r="L15" s="41" t="n">
        <f aca="false">K15+AUM_Rollforward!L11</f>
        <v>227342.878720003</v>
      </c>
    </row>
    <row r="16" customFormat="false" ht="15" hidden="false" customHeight="false" outlineLevel="0" collapsed="false">
      <c r="A16" s="5"/>
      <c r="B16" s="5"/>
      <c r="C16" s="5"/>
      <c r="D16" s="5"/>
      <c r="E16" s="5"/>
      <c r="F16" s="5"/>
      <c r="G16" s="5"/>
      <c r="H16" s="5"/>
      <c r="I16" s="5"/>
      <c r="J16" s="5"/>
      <c r="K16" s="5"/>
      <c r="L16" s="5"/>
    </row>
    <row r="17" customFormat="false" ht="15" hidden="false" customHeight="false" outlineLevel="0" collapsed="false">
      <c r="A17" s="5"/>
      <c r="B17" s="7" t="s">
        <v>193</v>
      </c>
      <c r="C17" s="39" t="n">
        <f aca="false">IFERROR(AR_End_AUM/Opening_AUM*100,0)</f>
        <v>108.192</v>
      </c>
      <c r="D17" s="39" t="n">
        <f aca="false">IFERROR(AR_End_AUM/Opening_AUM*100,0)</f>
        <v>117.118518086667</v>
      </c>
      <c r="E17" s="39" t="n">
        <f aca="false">IFERROR(AR_End_AUM/Opening_AUM*100,0)</f>
        <v>126.729139213056</v>
      </c>
      <c r="F17" s="39" t="n">
        <f aca="false">IFERROR(AR_End_AUM/Opening_AUM*100,0)</f>
        <v>136.96238895017</v>
      </c>
      <c r="G17" s="39" t="n">
        <f aca="false">IFERROR(AR_End_AUM/Opening_AUM*100,0)</f>
        <v>147.841338792171</v>
      </c>
      <c r="H17" s="39" t="n">
        <f aca="false">IFERROR(AR_End_AUM/Opening_AUM*100,0)</f>
        <v>159.391644772277</v>
      </c>
      <c r="I17" s="39" t="n">
        <f aca="false">IFERROR(AR_End_AUM/Opening_AUM*100,0)</f>
        <v>171.640816450419</v>
      </c>
      <c r="J17" s="39" t="n">
        <f aca="false">IFERROR(AR_End_AUM/Opening_AUM*100,0)</f>
        <v>184.617288298746</v>
      </c>
      <c r="K17" s="39" t="n">
        <f aca="false">IFERROR(AR_End_AUM/Opening_AUM*100,0)</f>
        <v>198.350407507876</v>
      </c>
      <c r="L17" s="39" t="n">
        <f aca="false">IFERROR(AR_End_AUM/Opening_AUM*100,0)</f>
        <v>212.870439628444</v>
      </c>
    </row>
    <row r="18" customFormat="false" ht="15" hidden="false" customHeight="false" outlineLevel="0" collapsed="false">
      <c r="A18" s="5"/>
      <c r="B18" s="7" t="s">
        <v>194</v>
      </c>
      <c r="C18" s="41" t="n">
        <f aca="false">AR_End_AUM/(1+Inflation_Rate)^(COLUMN()-2)</f>
        <v>263882.926829268</v>
      </c>
      <c r="D18" s="41" t="n">
        <f aca="false">AR_End_AUM/(1+Inflation_Rate)^(COLUMN()-2)</f>
        <v>278687.728939124</v>
      </c>
      <c r="E18" s="41" t="n">
        <f aca="false">AR_End_AUM/(1+Inflation_Rate)^(COLUMN()-2)</f>
        <v>294201.510049026</v>
      </c>
      <c r="F18" s="41" t="n">
        <f aca="false">AR_End_AUM/(1+Inflation_Rate)^(COLUMN()-2)</f>
        <v>310202.911456802</v>
      </c>
      <c r="G18" s="41" t="n">
        <f aca="false">AR_End_AUM/(1+Inflation_Rate)^(COLUMN()-2)</f>
        <v>326675.50294348</v>
      </c>
      <c r="H18" s="41" t="n">
        <f aca="false">AR_End_AUM/(1+Inflation_Rate)^(COLUMN()-2)</f>
        <v>343607.289368562</v>
      </c>
      <c r="I18" s="41" t="n">
        <f aca="false">AR_End_AUM/(1+Inflation_Rate)^(COLUMN()-2)</f>
        <v>360988.629502679</v>
      </c>
      <c r="J18" s="41" t="n">
        <f aca="false">AR_End_AUM/(1+Inflation_Rate)^(COLUMN()-2)</f>
        <v>378810.01571002</v>
      </c>
      <c r="K18" s="41" t="n">
        <f aca="false">AR_End_AUM/(1+Inflation_Rate)^(COLUMN()-2)</f>
        <v>397061.992149924</v>
      </c>
      <c r="L18" s="41" t="n">
        <f aca="false">AR_End_AUM/(1+Inflation_Rate)^(COLUMN()-2)</f>
        <v>415735.118030983</v>
      </c>
    </row>
    <row r="19" customFormat="false" ht="15" hidden="false" customHeight="false" outlineLevel="0" collapsed="false">
      <c r="A19" s="5"/>
      <c r="B19" s="7" t="s">
        <v>195</v>
      </c>
      <c r="C19" s="39" t="n">
        <f aca="false">IFERROR(C18/Opening_AUM*100,0)</f>
        <v>105.553170731707</v>
      </c>
      <c r="D19" s="39" t="n">
        <f aca="false">IFERROR(D18/Opening_AUM*100,0)</f>
        <v>111.475091575649</v>
      </c>
      <c r="E19" s="39" t="n">
        <f aca="false">IFERROR(E18/Opening_AUM*100,0)</f>
        <v>117.68060401961</v>
      </c>
      <c r="F19" s="39" t="n">
        <f aca="false">IFERROR(F18/Opening_AUM*100,0)</f>
        <v>124.081164582721</v>
      </c>
      <c r="G19" s="39" t="n">
        <f aca="false">IFERROR(G18/Opening_AUM*100,0)</f>
        <v>130.670201177392</v>
      </c>
      <c r="H19" s="39" t="n">
        <f aca="false">IFERROR(H18/Opening_AUM*100,0)</f>
        <v>137.442915747425</v>
      </c>
      <c r="I19" s="39" t="n">
        <f aca="false">IFERROR(I18/Opening_AUM*100,0)</f>
        <v>144.395451801072</v>
      </c>
      <c r="J19" s="39" t="n">
        <f aca="false">IFERROR(J18/Opening_AUM*100,0)</f>
        <v>151.524006284008</v>
      </c>
      <c r="K19" s="39" t="n">
        <f aca="false">IFERROR(K18/Opening_AUM*100,0)</f>
        <v>158.82479685997</v>
      </c>
      <c r="L19" s="39" t="n">
        <f aca="false">IFERROR(L18/Opening_AUM*100,0)</f>
        <v>166.294047212393</v>
      </c>
    </row>
    <row r="20" customFormat="false" ht="15" hidden="false" customHeight="false" outlineLevel="0" collapsed="false">
      <c r="A20" s="5"/>
      <c r="B20" s="37" t="s">
        <v>196</v>
      </c>
      <c r="C20" s="10"/>
      <c r="D20" s="10"/>
      <c r="E20" s="10"/>
      <c r="F20" s="10"/>
      <c r="G20" s="10"/>
      <c r="H20" s="10"/>
      <c r="I20" s="10"/>
      <c r="J20" s="10"/>
      <c r="K20" s="10"/>
      <c r="L20" s="10"/>
    </row>
    <row r="21" customFormat="false" ht="15" hidden="false" customHeight="false" outlineLevel="0" collapsed="false">
      <c r="A21" s="5"/>
      <c r="B21" s="7" t="s">
        <v>197</v>
      </c>
      <c r="C21" s="39" t="n">
        <f aca="false">100*(1+Population_Growth)^(COLUMN()-2)</f>
        <v>101.5</v>
      </c>
      <c r="D21" s="39" t="n">
        <f aca="false">100*(1+Population_Growth)^(COLUMN()-2)</f>
        <v>103.0225</v>
      </c>
      <c r="E21" s="39" t="n">
        <f aca="false">100*(1+Population_Growth)^(COLUMN()-2)</f>
        <v>104.5678375</v>
      </c>
      <c r="F21" s="39" t="n">
        <f aca="false">100*(1+Population_Growth)^(COLUMN()-2)</f>
        <v>106.1363550625</v>
      </c>
      <c r="G21" s="39" t="n">
        <f aca="false">100*(1+Population_Growth)^(COLUMN()-2)</f>
        <v>107.728400388437</v>
      </c>
      <c r="H21" s="39" t="n">
        <f aca="false">100*(1+Population_Growth)^(COLUMN()-2)</f>
        <v>109.344326394264</v>
      </c>
      <c r="I21" s="39" t="n">
        <f aca="false">100*(1+Population_Growth)^(COLUMN()-2)</f>
        <v>110.984491290178</v>
      </c>
      <c r="J21" s="39" t="n">
        <f aca="false">100*(1+Population_Growth)^(COLUMN()-2)</f>
        <v>112.649258659531</v>
      </c>
      <c r="K21" s="39" t="n">
        <f aca="false">100*(1+Population_Growth)^(COLUMN()-2)</f>
        <v>114.338997539424</v>
      </c>
      <c r="L21" s="39" t="n">
        <f aca="false">100*(1+Population_Growth)^(COLUMN()-2)</f>
        <v>116.054082502515</v>
      </c>
    </row>
    <row r="22" customFormat="false" ht="15" hidden="false" customHeight="false" outlineLevel="0" collapsed="false">
      <c r="A22" s="5"/>
      <c r="B22" s="7" t="s">
        <v>198</v>
      </c>
      <c r="C22" s="39" t="n">
        <f aca="false">IFERROR(C19/C21*100,0)</f>
        <v>103.993271656855</v>
      </c>
      <c r="D22" s="39" t="n">
        <f aca="false">IFERROR(D19/D21*100,0)</f>
        <v>108.20460731942</v>
      </c>
      <c r="E22" s="39" t="n">
        <f aca="false">IFERROR(E19/E21*100,0)</f>
        <v>112.539961457662</v>
      </c>
      <c r="F22" s="39" t="n">
        <f aca="false">IFERROR(F19/F21*100,0)</f>
        <v>116.907316545451</v>
      </c>
      <c r="G22" s="39" t="n">
        <f aca="false">IFERROR(G19/G21*100,0)</f>
        <v>121.295963465746</v>
      </c>
      <c r="H22" s="39" t="n">
        <f aca="false">IFERROR(H19/H21*100,0)</f>
        <v>125.697345513699</v>
      </c>
      <c r="I22" s="39" t="n">
        <f aca="false">IFERROR(I19/I21*100,0)</f>
        <v>130.104170521932</v>
      </c>
      <c r="J22" s="39" t="n">
        <f aca="false">IFERROR(J19/J21*100,0)</f>
        <v>134.509545901204</v>
      </c>
      <c r="K22" s="39" t="n">
        <f aca="false">IFERROR(K19/K21*100,0)</f>
        <v>138.906934884756</v>
      </c>
      <c r="L22" s="39" t="n">
        <f aca="false">IFERROR(L19/L21*100,0)</f>
        <v>143.290131313381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L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2" min="3" style="0" width="16"/>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8" t="s">
        <v>31</v>
      </c>
      <c r="C2" s="5"/>
      <c r="D2" s="5"/>
      <c r="E2" s="5"/>
      <c r="F2" s="5"/>
      <c r="G2" s="5"/>
      <c r="H2" s="5"/>
      <c r="I2" s="5"/>
      <c r="J2" s="5"/>
      <c r="K2" s="5"/>
      <c r="L2" s="5"/>
    </row>
    <row r="3" customFormat="false" ht="15" hidden="false" customHeight="false" outlineLevel="0" collapsed="false">
      <c r="A3" s="5"/>
      <c r="B3" s="29" t="s">
        <v>32</v>
      </c>
      <c r="C3" s="5"/>
      <c r="D3" s="5"/>
      <c r="E3" s="5"/>
      <c r="F3" s="5"/>
      <c r="G3" s="5"/>
      <c r="H3" s="5"/>
      <c r="I3" s="5"/>
      <c r="J3" s="5"/>
      <c r="K3" s="5"/>
      <c r="L3" s="5"/>
    </row>
    <row r="4" customFormat="false" ht="15" hidden="false" customHeight="false" outlineLevel="0" collapsed="false">
      <c r="A4" s="5"/>
      <c r="B4" s="30" t="s">
        <v>140</v>
      </c>
      <c r="C4" s="38" t="n">
        <f aca="false">Model_Start_Year+COLUMN()-3</f>
        <v>2025</v>
      </c>
      <c r="D4" s="38" t="n">
        <f aca="false">Model_Start_Year+COLUMN()-3</f>
        <v>2026</v>
      </c>
      <c r="E4" s="38" t="n">
        <f aca="false">Model_Start_Year+COLUMN()-3</f>
        <v>2027</v>
      </c>
      <c r="F4" s="38" t="n">
        <f aca="false">Model_Start_Year+COLUMN()-3</f>
        <v>2028</v>
      </c>
      <c r="G4" s="38" t="n">
        <f aca="false">Model_Start_Year+COLUMN()-3</f>
        <v>2029</v>
      </c>
      <c r="H4" s="38" t="n">
        <f aca="false">Model_Start_Year+COLUMN()-3</f>
        <v>2030</v>
      </c>
      <c r="I4" s="38" t="n">
        <f aca="false">Model_Start_Year+COLUMN()-3</f>
        <v>2031</v>
      </c>
      <c r="J4" s="38" t="n">
        <f aca="false">Model_Start_Year+COLUMN()-3</f>
        <v>2032</v>
      </c>
      <c r="K4" s="38" t="n">
        <f aca="false">Model_Start_Year+COLUMN()-3</f>
        <v>2033</v>
      </c>
      <c r="L4" s="38" t="n">
        <f aca="false">Model_Start_Year+COLUMN()-3</f>
        <v>2034</v>
      </c>
    </row>
    <row r="5" customFormat="false" ht="15" hidden="false" customHeight="false" outlineLevel="0" collapsed="false">
      <c r="A5" s="5"/>
      <c r="B5" s="5"/>
      <c r="C5" s="5"/>
      <c r="D5" s="5"/>
      <c r="E5" s="5"/>
      <c r="F5" s="5"/>
      <c r="G5" s="5"/>
      <c r="H5" s="5"/>
      <c r="I5" s="5"/>
      <c r="J5" s="5"/>
      <c r="K5" s="5"/>
      <c r="L5" s="5"/>
    </row>
    <row r="6" customFormat="false" ht="15" hidden="false" customHeight="false" outlineLevel="0" collapsed="false">
      <c r="A6" s="5"/>
      <c r="B6" s="7" t="s">
        <v>199</v>
      </c>
      <c r="C6" s="49" t="str">
        <f aca="false">IF(ABS(Wt_Pub_Eq+Wt_FI+Wt_PE+Wt_RE+Wt_Infra+Wt_Cash-1)&lt;0.001,"PASS","FAIL")</f>
        <v>PASS</v>
      </c>
      <c r="D6" s="49" t="str">
        <f aca="false">IF(ABS(Wt_Pub_Eq+Wt_FI+Wt_PE+Wt_RE+Wt_Infra+Wt_Cash-1)&lt;0.001,"PASS","FAIL")</f>
        <v>PASS</v>
      </c>
      <c r="E6" s="49" t="str">
        <f aca="false">IF(ABS(Wt_Pub_Eq+Wt_FI+Wt_PE+Wt_RE+Wt_Infra+Wt_Cash-1)&lt;0.001,"PASS","FAIL")</f>
        <v>PASS</v>
      </c>
      <c r="F6" s="49" t="str">
        <f aca="false">IF(ABS(Wt_Pub_Eq+Wt_FI+Wt_PE+Wt_RE+Wt_Infra+Wt_Cash-1)&lt;0.001,"PASS","FAIL")</f>
        <v>PASS</v>
      </c>
      <c r="G6" s="49" t="str">
        <f aca="false">IF(ABS(Wt_Pub_Eq+Wt_FI+Wt_PE+Wt_RE+Wt_Infra+Wt_Cash-1)&lt;0.001,"PASS","FAIL")</f>
        <v>PASS</v>
      </c>
      <c r="H6" s="49" t="str">
        <f aca="false">IF(ABS(Wt_Pub_Eq+Wt_FI+Wt_PE+Wt_RE+Wt_Infra+Wt_Cash-1)&lt;0.001,"PASS","FAIL")</f>
        <v>PASS</v>
      </c>
      <c r="I6" s="49" t="str">
        <f aca="false">IF(ABS(Wt_Pub_Eq+Wt_FI+Wt_PE+Wt_RE+Wt_Infra+Wt_Cash-1)&lt;0.001,"PASS","FAIL")</f>
        <v>PASS</v>
      </c>
      <c r="J6" s="49" t="str">
        <f aca="false">IF(ABS(Wt_Pub_Eq+Wt_FI+Wt_PE+Wt_RE+Wt_Infra+Wt_Cash-1)&lt;0.001,"PASS","FAIL")</f>
        <v>PASS</v>
      </c>
      <c r="K6" s="49" t="str">
        <f aca="false">IF(ABS(Wt_Pub_Eq+Wt_FI+Wt_PE+Wt_RE+Wt_Infra+Wt_Cash-1)&lt;0.001,"PASS","FAIL")</f>
        <v>PASS</v>
      </c>
      <c r="L6" s="49" t="str">
        <f aca="false">IF(ABS(Wt_Pub_Eq+Wt_FI+Wt_PE+Wt_RE+Wt_Infra+Wt_Cash-1)&lt;0.001,"PASS","FAIL")</f>
        <v>PASS</v>
      </c>
    </row>
    <row r="7" customFormat="false" ht="15" hidden="false" customHeight="false" outlineLevel="0" collapsed="false">
      <c r="A7" s="5"/>
      <c r="B7" s="7" t="s">
        <v>200</v>
      </c>
      <c r="C7" s="49" t="str">
        <f aca="false">IF(ABS(AUM_Rollforward!C18)&lt;0.01,"PASS","FAIL")</f>
        <v>PASS</v>
      </c>
      <c r="D7" s="49" t="str">
        <f aca="false">IF(ABS(AUM_Rollforward!D18)&lt;0.01,"PASS","FAIL")</f>
        <v>PASS</v>
      </c>
      <c r="E7" s="49" t="str">
        <f aca="false">IF(ABS(AUM_Rollforward!E18)&lt;0.01,"PASS","FAIL")</f>
        <v>PASS</v>
      </c>
      <c r="F7" s="49" t="str">
        <f aca="false">IF(ABS(AUM_Rollforward!F18)&lt;0.01,"PASS","FAIL")</f>
        <v>PASS</v>
      </c>
      <c r="G7" s="49" t="str">
        <f aca="false">IF(ABS(AUM_Rollforward!G18)&lt;0.01,"PASS","FAIL")</f>
        <v>PASS</v>
      </c>
      <c r="H7" s="49" t="str">
        <f aca="false">IF(ABS(AUM_Rollforward!H18)&lt;0.01,"PASS","FAIL")</f>
        <v>PASS</v>
      </c>
      <c r="I7" s="49" t="str">
        <f aca="false">IF(ABS(AUM_Rollforward!I18)&lt;0.01,"PASS","FAIL")</f>
        <v>PASS</v>
      </c>
      <c r="J7" s="49" t="str">
        <f aca="false">IF(ABS(AUM_Rollforward!J18)&lt;0.01,"PASS","FAIL")</f>
        <v>PASS</v>
      </c>
      <c r="K7" s="49" t="str">
        <f aca="false">IF(ABS(AUM_Rollforward!K18)&lt;0.01,"PASS","FAIL")</f>
        <v>PASS</v>
      </c>
      <c r="L7" s="49" t="str">
        <f aca="false">IF(ABS(AUM_Rollforward!L18)&lt;0.01,"PASS","FAIL")</f>
        <v>PASS</v>
      </c>
    </row>
    <row r="8" customFormat="false" ht="15" hidden="false" customHeight="false" outlineLevel="0" collapsed="false">
      <c r="A8" s="5"/>
      <c r="B8" s="7" t="s">
        <v>201</v>
      </c>
      <c r="C8" s="49" t="str">
        <f aca="false">IF(ABS(Rebalancing!C32)&lt;0.01,"PASS","FAIL")</f>
        <v>FAIL</v>
      </c>
      <c r="D8" s="49" t="str">
        <f aca="false">IF(ABS(Rebalancing!D32)&lt;0.01,"PASS","FAIL")</f>
        <v>FAIL</v>
      </c>
      <c r="E8" s="49" t="str">
        <f aca="false">IF(ABS(Rebalancing!E32)&lt;0.01,"PASS","FAIL")</f>
        <v>FAIL</v>
      </c>
      <c r="F8" s="49" t="str">
        <f aca="false">IF(ABS(Rebalancing!F32)&lt;0.01,"PASS","FAIL")</f>
        <v>FAIL</v>
      </c>
      <c r="G8" s="49" t="str">
        <f aca="false">IF(ABS(Rebalancing!G32)&lt;0.01,"PASS","FAIL")</f>
        <v>FAIL</v>
      </c>
      <c r="H8" s="49" t="str">
        <f aca="false">IF(ABS(Rebalancing!H32)&lt;0.01,"PASS","FAIL")</f>
        <v>FAIL</v>
      </c>
      <c r="I8" s="49" t="str">
        <f aca="false">IF(ABS(Rebalancing!I32)&lt;0.01,"PASS","FAIL")</f>
        <v>FAIL</v>
      </c>
      <c r="J8" s="49" t="str">
        <f aca="false">IF(ABS(Rebalancing!J32)&lt;0.01,"PASS","FAIL")</f>
        <v>FAIL</v>
      </c>
      <c r="K8" s="49" t="str">
        <f aca="false">IF(ABS(Rebalancing!K32)&lt;0.01,"PASS","FAIL")</f>
        <v>FAIL</v>
      </c>
      <c r="L8" s="49" t="str">
        <f aca="false">IF(ABS(Rebalancing!L32)&lt;0.01,"PASS","FAIL")</f>
        <v>FAIL</v>
      </c>
    </row>
    <row r="9" customFormat="false" ht="15" hidden="false" customHeight="false" outlineLevel="0" collapsed="false">
      <c r="A9" s="5"/>
      <c r="B9" s="7" t="s">
        <v>202</v>
      </c>
      <c r="C9" s="49" t="str">
        <f aca="false">IF(Wt_Cash&gt;=0.01,"PASS","FAIL")</f>
        <v>PASS</v>
      </c>
      <c r="D9" s="49" t="str">
        <f aca="false">IF(Wt_Cash&gt;=0.01,"PASS","FAIL")</f>
        <v>PASS</v>
      </c>
      <c r="E9" s="49" t="str">
        <f aca="false">IF(Wt_Cash&gt;=0.01,"PASS","FAIL")</f>
        <v>PASS</v>
      </c>
      <c r="F9" s="49" t="str">
        <f aca="false">IF(Wt_Cash&gt;=0.01,"PASS","FAIL")</f>
        <v>PASS</v>
      </c>
      <c r="G9" s="49" t="str">
        <f aca="false">IF(Wt_Cash&gt;=0.01,"PASS","FAIL")</f>
        <v>PASS</v>
      </c>
      <c r="H9" s="49" t="str">
        <f aca="false">IF(Wt_Cash&gt;=0.01,"PASS","FAIL")</f>
        <v>PASS</v>
      </c>
      <c r="I9" s="49" t="str">
        <f aca="false">IF(Wt_Cash&gt;=0.01,"PASS","FAIL")</f>
        <v>PASS</v>
      </c>
      <c r="J9" s="49" t="str">
        <f aca="false">IF(Wt_Cash&gt;=0.01,"PASS","FAIL")</f>
        <v>PASS</v>
      </c>
      <c r="K9" s="49" t="str">
        <f aca="false">IF(Wt_Cash&gt;=0.01,"PASS","FAIL")</f>
        <v>PASS</v>
      </c>
      <c r="L9" s="49" t="str">
        <f aca="false">IF(Wt_Cash&gt;=0.01,"PASS","FAIL")</f>
        <v>PASS</v>
      </c>
    </row>
    <row r="10" customFormat="false" ht="15" hidden="false" customHeight="false" outlineLevel="0" collapsed="false">
      <c r="A10" s="5"/>
      <c r="B10" s="7" t="s">
        <v>203</v>
      </c>
      <c r="C10" s="49" t="str">
        <f aca="false">IF(AND(Fee_Schedule!C26&gt;=0.0015,Fee_Schedule!C26&lt;=0.01),"PASS","FAIL")</f>
        <v>PASS</v>
      </c>
      <c r="D10" s="49" t="str">
        <f aca="false">IF(AND(Fee_Schedule!D26&gt;=0.0015,Fee_Schedule!D26&lt;=0.01),"PASS","FAIL")</f>
        <v>PASS</v>
      </c>
      <c r="E10" s="49" t="str">
        <f aca="false">IF(AND(Fee_Schedule!E26&gt;=0.0015,Fee_Schedule!E26&lt;=0.01),"PASS","FAIL")</f>
        <v>PASS</v>
      </c>
      <c r="F10" s="49" t="str">
        <f aca="false">IF(AND(Fee_Schedule!F26&gt;=0.0015,Fee_Schedule!F26&lt;=0.01),"PASS","FAIL")</f>
        <v>PASS</v>
      </c>
      <c r="G10" s="49" t="str">
        <f aca="false">IF(AND(Fee_Schedule!G26&gt;=0.0015,Fee_Schedule!G26&lt;=0.01),"PASS","FAIL")</f>
        <v>PASS</v>
      </c>
      <c r="H10" s="49" t="str">
        <f aca="false">IF(AND(Fee_Schedule!H26&gt;=0.0015,Fee_Schedule!H26&lt;=0.01),"PASS","FAIL")</f>
        <v>PASS</v>
      </c>
      <c r="I10" s="49" t="str">
        <f aca="false">IF(AND(Fee_Schedule!I26&gt;=0.0015,Fee_Schedule!I26&lt;=0.01),"PASS","FAIL")</f>
        <v>PASS</v>
      </c>
      <c r="J10" s="49" t="str">
        <f aca="false">IF(AND(Fee_Schedule!J26&gt;=0.0015,Fee_Schedule!J26&lt;=0.01),"PASS","FAIL")</f>
        <v>PASS</v>
      </c>
      <c r="K10" s="49" t="str">
        <f aca="false">IF(AND(Fee_Schedule!K26&gt;=0.0015,Fee_Schedule!K26&lt;=0.01),"PASS","FAIL")</f>
        <v>PASS</v>
      </c>
      <c r="L10" s="49" t="str">
        <f aca="false">IF(AND(Fee_Schedule!L26&gt;=0.0015,Fee_Schedule!L26&lt;=0.01),"PASS","FAIL")</f>
        <v>PASS</v>
      </c>
    </row>
    <row r="11" customFormat="false" ht="15" hidden="false" customHeight="false" outlineLevel="0" collapsed="false">
      <c r="A11" s="5"/>
      <c r="B11" s="7" t="s">
        <v>204</v>
      </c>
      <c r="C11" s="49" t="str">
        <f aca="false">IF(Fund_Performance!C7&gt;0,"PASS","FAIL")</f>
        <v>PASS</v>
      </c>
      <c r="D11" s="49" t="str">
        <f aca="false">IF(Fund_Performance!D7&gt;0,"PASS","FAIL")</f>
        <v>PASS</v>
      </c>
      <c r="E11" s="49" t="str">
        <f aca="false">IF(Fund_Performance!E7&gt;0,"PASS","FAIL")</f>
        <v>PASS</v>
      </c>
      <c r="F11" s="49" t="str">
        <f aca="false">IF(Fund_Performance!F7&gt;0,"PASS","FAIL")</f>
        <v>PASS</v>
      </c>
      <c r="G11" s="49" t="str">
        <f aca="false">IF(Fund_Performance!G7&gt;0,"PASS","FAIL")</f>
        <v>PASS</v>
      </c>
      <c r="H11" s="49" t="str">
        <f aca="false">IF(Fund_Performance!H7&gt;0,"PASS","FAIL")</f>
        <v>PASS</v>
      </c>
      <c r="I11" s="49" t="str">
        <f aca="false">IF(Fund_Performance!I7&gt;0,"PASS","FAIL")</f>
        <v>PASS</v>
      </c>
      <c r="J11" s="49" t="str">
        <f aca="false">IF(Fund_Performance!J7&gt;0,"PASS","FAIL")</f>
        <v>PASS</v>
      </c>
      <c r="K11" s="49" t="str">
        <f aca="false">IF(Fund_Performance!K7&gt;0,"PASS","FAIL")</f>
        <v>PASS</v>
      </c>
      <c r="L11" s="49" t="str">
        <f aca="false">IF(Fund_Performance!L7&gt;0,"PASS","FAIL")</f>
        <v>PASS</v>
      </c>
    </row>
    <row r="12" customFormat="false" ht="15" hidden="false" customHeight="false" outlineLevel="0" collapsed="false">
      <c r="A12" s="5"/>
      <c r="B12" s="7" t="s">
        <v>205</v>
      </c>
      <c r="C12" s="49" t="str">
        <f aca="false">IF(Fee_Schedule!C20&gt;=0,"PASS","FAIL")</f>
        <v>PASS</v>
      </c>
      <c r="D12" s="49" t="str">
        <f aca="false">IF(Fee_Schedule!D20&gt;=0,"PASS","FAIL")</f>
        <v>PASS</v>
      </c>
      <c r="E12" s="49" t="str">
        <f aca="false">IF(Fee_Schedule!E20&gt;=0,"PASS","FAIL")</f>
        <v>PASS</v>
      </c>
      <c r="F12" s="49" t="str">
        <f aca="false">IF(Fee_Schedule!F20&gt;=0,"PASS","FAIL")</f>
        <v>PASS</v>
      </c>
      <c r="G12" s="49" t="str">
        <f aca="false">IF(Fee_Schedule!G20&gt;=0,"PASS","FAIL")</f>
        <v>PASS</v>
      </c>
      <c r="H12" s="49" t="str">
        <f aca="false">IF(Fee_Schedule!H20&gt;=0,"PASS","FAIL")</f>
        <v>PASS</v>
      </c>
      <c r="I12" s="49" t="str">
        <f aca="false">IF(Fee_Schedule!I20&gt;=0,"PASS","FAIL")</f>
        <v>PASS</v>
      </c>
      <c r="J12" s="49" t="str">
        <f aca="false">IF(Fee_Schedule!J20&gt;=0,"PASS","FAIL")</f>
        <v>PASS</v>
      </c>
      <c r="K12" s="49" t="str">
        <f aca="false">IF(Fee_Schedule!K20&gt;=0,"PASS","FAIL")</f>
        <v>PASS</v>
      </c>
      <c r="L12" s="49" t="str">
        <f aca="false">IF(Fee_Schedule!L20&gt;=0,"PASS","FAIL")</f>
        <v>PASS</v>
      </c>
    </row>
    <row r="13" customFormat="false" ht="15" hidden="false" customHeight="false" outlineLevel="0" collapsed="false">
      <c r="A13" s="5"/>
      <c r="B13" s="7" t="s">
        <v>206</v>
      </c>
      <c r="C13" s="49" t="str">
        <f aca="false">IF(Fiscal_Transfers!C14&gt;=0,"PASS","FAIL")</f>
        <v>PASS</v>
      </c>
      <c r="D13" s="49" t="str">
        <f aca="false">IF(Fiscal_Transfers!D14&gt;=0,"PASS","FAIL")</f>
        <v>PASS</v>
      </c>
      <c r="E13" s="49" t="str">
        <f aca="false">IF(Fiscal_Transfers!E14&gt;=0,"PASS","FAIL")</f>
        <v>PASS</v>
      </c>
      <c r="F13" s="49" t="str">
        <f aca="false">IF(Fiscal_Transfers!F14&gt;=0,"PASS","FAIL")</f>
        <v>PASS</v>
      </c>
      <c r="G13" s="49" t="str">
        <f aca="false">IF(Fiscal_Transfers!G14&gt;=0,"PASS","FAIL")</f>
        <v>PASS</v>
      </c>
      <c r="H13" s="49" t="str">
        <f aca="false">IF(Fiscal_Transfers!H14&gt;=0,"PASS","FAIL")</f>
        <v>PASS</v>
      </c>
      <c r="I13" s="49" t="str">
        <f aca="false">IF(Fiscal_Transfers!I14&gt;=0,"PASS","FAIL")</f>
        <v>PASS</v>
      </c>
      <c r="J13" s="49" t="str">
        <f aca="false">IF(Fiscal_Transfers!J14&gt;=0,"PASS","FAIL")</f>
        <v>PASS</v>
      </c>
      <c r="K13" s="49" t="str">
        <f aca="false">IF(Fiscal_Transfers!K14&gt;=0,"PASS","FAIL")</f>
        <v>PASS</v>
      </c>
      <c r="L13" s="49" t="str">
        <f aca="false">IF(Fiscal_Transfers!L14&gt;=0,"PASS","FAIL")</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5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14"/>
    <col collapsed="false" customWidth="true" hidden="false" outlineLevel="0" max="4" min="4" style="0" width="10"/>
    <col collapsed="false" customWidth="true" hidden="false" outlineLevel="0" max="5" min="5" style="0" width="4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9</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40</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14" t="s">
        <v>41</v>
      </c>
      <c r="C4" s="14" t="s">
        <v>42</v>
      </c>
      <c r="D4" s="14" t="s">
        <v>43</v>
      </c>
      <c r="E4" s="14" t="s">
        <v>44</v>
      </c>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15" t="s">
        <v>45</v>
      </c>
      <c r="C5" s="16"/>
      <c r="D5" s="16"/>
      <c r="E5" s="16"/>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7" t="s">
        <v>46</v>
      </c>
      <c r="C6" s="17" t="n">
        <v>0.025</v>
      </c>
      <c r="D6" s="8" t="s">
        <v>47</v>
      </c>
      <c r="E6" s="8" t="s">
        <v>48</v>
      </c>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7" t="s">
        <v>49</v>
      </c>
      <c r="C7" s="17" t="n">
        <v>0.04</v>
      </c>
      <c r="D7" s="8" t="s">
        <v>47</v>
      </c>
      <c r="E7" s="8" t="s">
        <v>50</v>
      </c>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7" t="s">
        <v>51</v>
      </c>
      <c r="C8" s="17" t="n">
        <v>0.015</v>
      </c>
      <c r="D8" s="8" t="s">
        <v>47</v>
      </c>
      <c r="E8" s="8" t="s">
        <v>52</v>
      </c>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5"/>
      <c r="C9" s="5"/>
      <c r="D9" s="5"/>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15" t="s">
        <v>53</v>
      </c>
      <c r="C10" s="16"/>
      <c r="D10" s="16"/>
      <c r="E10" s="16"/>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7" t="s">
        <v>54</v>
      </c>
      <c r="C11" s="18" t="n">
        <v>75</v>
      </c>
      <c r="D11" s="8" t="s">
        <v>55</v>
      </c>
      <c r="E11" s="8" t="s">
        <v>56</v>
      </c>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7" t="s">
        <v>57</v>
      </c>
      <c r="C12" s="18" t="n">
        <v>3.5</v>
      </c>
      <c r="D12" s="8" t="s">
        <v>58</v>
      </c>
      <c r="E12" s="8" t="s">
        <v>59</v>
      </c>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7" t="s">
        <v>60</v>
      </c>
      <c r="C13" s="17" t="n">
        <v>0.3</v>
      </c>
      <c r="D13" s="8" t="s">
        <v>47</v>
      </c>
      <c r="E13" s="8" t="s">
        <v>61</v>
      </c>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7" t="s">
        <v>62</v>
      </c>
      <c r="C14" s="18" t="n">
        <v>45</v>
      </c>
      <c r="D14" s="8" t="s">
        <v>55</v>
      </c>
      <c r="E14" s="8" t="s">
        <v>63</v>
      </c>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7" t="s">
        <v>64</v>
      </c>
      <c r="C15" s="18" t="n">
        <v>2000</v>
      </c>
      <c r="D15" s="8" t="s">
        <v>65</v>
      </c>
      <c r="E15" s="8" t="s">
        <v>66</v>
      </c>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15" t="s">
        <v>67</v>
      </c>
      <c r="C17" s="16"/>
      <c r="D17" s="16"/>
      <c r="E17" s="16"/>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7" t="s">
        <v>68</v>
      </c>
      <c r="C18" s="17" t="n">
        <v>0.38</v>
      </c>
      <c r="D18" s="8" t="s">
        <v>47</v>
      </c>
      <c r="E18" s="8" t="s">
        <v>69</v>
      </c>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7" t="s">
        <v>70</v>
      </c>
      <c r="C19" s="17" t="n">
        <v>0.22</v>
      </c>
      <c r="D19" s="8" t="s">
        <v>47</v>
      </c>
      <c r="E19" s="8" t="s">
        <v>71</v>
      </c>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7" t="s">
        <v>72</v>
      </c>
      <c r="C20" s="17" t="n">
        <v>0.15</v>
      </c>
      <c r="D20" s="8" t="s">
        <v>47</v>
      </c>
      <c r="E20" s="8" t="s">
        <v>73</v>
      </c>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7" t="s">
        <v>74</v>
      </c>
      <c r="C21" s="17" t="n">
        <v>0.1</v>
      </c>
      <c r="D21" s="8" t="s">
        <v>47</v>
      </c>
      <c r="E21" s="8" t="s">
        <v>75</v>
      </c>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7" t="s">
        <v>76</v>
      </c>
      <c r="C22" s="17" t="n">
        <v>0.1</v>
      </c>
      <c r="D22" s="8" t="s">
        <v>47</v>
      </c>
      <c r="E22" s="8" t="s">
        <v>77</v>
      </c>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7" t="s">
        <v>78</v>
      </c>
      <c r="C23" s="17" t="n">
        <v>0.05</v>
      </c>
      <c r="D23" s="8" t="s">
        <v>47</v>
      </c>
      <c r="E23" s="8" t="s">
        <v>79</v>
      </c>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15" t="s">
        <v>80</v>
      </c>
      <c r="C25" s="16"/>
      <c r="D25" s="16"/>
      <c r="E25" s="16"/>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7" t="s">
        <v>68</v>
      </c>
      <c r="C26" s="17" t="n">
        <v>0.075</v>
      </c>
      <c r="D26" s="8" t="s">
        <v>47</v>
      </c>
      <c r="E26" s="8" t="s">
        <v>81</v>
      </c>
      <c r="F26" s="5"/>
      <c r="G26" s="5"/>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7" t="s">
        <v>70</v>
      </c>
      <c r="C27" s="17" t="n">
        <v>0.04</v>
      </c>
      <c r="D27" s="8" t="s">
        <v>47</v>
      </c>
      <c r="E27" s="8" t="s">
        <v>82</v>
      </c>
      <c r="F27" s="5"/>
      <c r="G27" s="5"/>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7" t="s">
        <v>72</v>
      </c>
      <c r="C28" s="17" t="n">
        <v>0.12</v>
      </c>
      <c r="D28" s="8" t="s">
        <v>47</v>
      </c>
      <c r="E28" s="8" t="s">
        <v>83</v>
      </c>
      <c r="F28" s="5"/>
      <c r="G28" s="5"/>
      <c r="H28" s="5"/>
      <c r="I28" s="5"/>
      <c r="J28" s="5"/>
      <c r="K28" s="5"/>
      <c r="L28" s="5"/>
      <c r="M28" s="5"/>
      <c r="N28" s="5"/>
      <c r="O28" s="5"/>
      <c r="P28" s="5"/>
      <c r="Q28" s="5"/>
      <c r="R28" s="5"/>
      <c r="S28" s="5"/>
      <c r="T28" s="5"/>
      <c r="U28" s="5"/>
      <c r="V28" s="5"/>
      <c r="W28" s="5"/>
      <c r="X28" s="5"/>
      <c r="Y28" s="5"/>
      <c r="Z28" s="5"/>
      <c r="AA28" s="5"/>
      <c r="AB28" s="5"/>
      <c r="AC28" s="5"/>
      <c r="AD28" s="5"/>
    </row>
    <row r="29" customFormat="false" ht="15" hidden="false" customHeight="false" outlineLevel="0" collapsed="false">
      <c r="A29" s="5"/>
      <c r="B29" s="7" t="s">
        <v>74</v>
      </c>
      <c r="C29" s="17" t="n">
        <v>0.07</v>
      </c>
      <c r="D29" s="8" t="s">
        <v>47</v>
      </c>
      <c r="E29" s="8" t="s">
        <v>84</v>
      </c>
      <c r="F29" s="5"/>
      <c r="G29" s="5"/>
      <c r="H29" s="5"/>
      <c r="I29" s="5"/>
      <c r="J29" s="5"/>
      <c r="K29" s="5"/>
      <c r="L29" s="5"/>
      <c r="M29" s="5"/>
      <c r="N29" s="5"/>
      <c r="O29" s="5"/>
      <c r="P29" s="5"/>
      <c r="Q29" s="5"/>
      <c r="R29" s="5"/>
      <c r="S29" s="5"/>
      <c r="T29" s="5"/>
      <c r="U29" s="5"/>
      <c r="V29" s="5"/>
      <c r="W29" s="5"/>
      <c r="X29" s="5"/>
      <c r="Y29" s="5"/>
      <c r="Z29" s="5"/>
      <c r="AA29" s="5"/>
      <c r="AB29" s="5"/>
      <c r="AC29" s="5"/>
      <c r="AD29" s="5"/>
    </row>
    <row r="30" customFormat="false" ht="15" hidden="false" customHeight="false" outlineLevel="0" collapsed="false">
      <c r="A30" s="5"/>
      <c r="B30" s="7" t="s">
        <v>76</v>
      </c>
      <c r="C30" s="17" t="n">
        <v>0.08</v>
      </c>
      <c r="D30" s="8" t="s">
        <v>47</v>
      </c>
      <c r="E30" s="8" t="s">
        <v>85</v>
      </c>
      <c r="F30" s="5"/>
      <c r="G30" s="5"/>
      <c r="H30" s="5"/>
      <c r="I30" s="5"/>
      <c r="J30" s="5"/>
      <c r="K30" s="5"/>
      <c r="L30" s="5"/>
      <c r="M30" s="5"/>
      <c r="N30" s="5"/>
      <c r="O30" s="5"/>
      <c r="P30" s="5"/>
      <c r="Q30" s="5"/>
      <c r="R30" s="5"/>
      <c r="S30" s="5"/>
      <c r="T30" s="5"/>
      <c r="U30" s="5"/>
      <c r="V30" s="5"/>
      <c r="W30" s="5"/>
      <c r="X30" s="5"/>
      <c r="Y30" s="5"/>
      <c r="Z30" s="5"/>
      <c r="AA30" s="5"/>
      <c r="AB30" s="5"/>
      <c r="AC30" s="5"/>
      <c r="AD30" s="5"/>
    </row>
    <row r="31" customFormat="false" ht="15" hidden="false" customHeight="false" outlineLevel="0" collapsed="false">
      <c r="A31" s="5"/>
      <c r="B31" s="7" t="s">
        <v>78</v>
      </c>
      <c r="C31" s="17" t="n">
        <v>0.03</v>
      </c>
      <c r="D31" s="8" t="s">
        <v>47</v>
      </c>
      <c r="E31" s="8" t="s">
        <v>86</v>
      </c>
      <c r="F31" s="5"/>
      <c r="G31" s="5"/>
      <c r="H31" s="5"/>
      <c r="I31" s="5"/>
      <c r="J31" s="5"/>
      <c r="K31" s="5"/>
      <c r="L31" s="5"/>
      <c r="M31" s="5"/>
      <c r="N31" s="5"/>
      <c r="O31" s="5"/>
      <c r="P31" s="5"/>
      <c r="Q31" s="5"/>
      <c r="R31" s="5"/>
      <c r="S31" s="5"/>
      <c r="T31" s="5"/>
      <c r="U31" s="5"/>
      <c r="V31" s="5"/>
      <c r="W31" s="5"/>
      <c r="X31" s="5"/>
      <c r="Y31" s="5"/>
      <c r="Z31" s="5"/>
      <c r="AA31" s="5"/>
      <c r="AB31" s="5"/>
      <c r="AC31" s="5"/>
      <c r="AD31" s="5"/>
    </row>
    <row r="32" customFormat="false" ht="15" hidden="false" customHeight="false" outlineLevel="0" collapsed="false">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customFormat="false" ht="15" hidden="false" customHeight="false" outlineLevel="0" collapsed="false">
      <c r="A33" s="5"/>
      <c r="B33" s="15" t="s">
        <v>87</v>
      </c>
      <c r="C33" s="16"/>
      <c r="D33" s="16"/>
      <c r="E33" s="16"/>
      <c r="F33" s="5"/>
      <c r="G33" s="5"/>
      <c r="H33" s="5"/>
      <c r="I33" s="5"/>
      <c r="J33" s="5"/>
      <c r="K33" s="5"/>
      <c r="L33" s="5"/>
      <c r="M33" s="5"/>
      <c r="N33" s="5"/>
      <c r="O33" s="5"/>
      <c r="P33" s="5"/>
      <c r="Q33" s="5"/>
      <c r="R33" s="5"/>
      <c r="S33" s="5"/>
      <c r="T33" s="5"/>
      <c r="U33" s="5"/>
      <c r="V33" s="5"/>
      <c r="W33" s="5"/>
      <c r="X33" s="5"/>
      <c r="Y33" s="5"/>
      <c r="Z33" s="5"/>
      <c r="AA33" s="5"/>
      <c r="AB33" s="5"/>
      <c r="AC33" s="5"/>
      <c r="AD33" s="5"/>
    </row>
    <row r="34" customFormat="false" ht="15" hidden="false" customHeight="false" outlineLevel="0" collapsed="false">
      <c r="A34" s="5"/>
      <c r="B34" s="7" t="s">
        <v>68</v>
      </c>
      <c r="C34" s="17" t="n">
        <v>0.001</v>
      </c>
      <c r="D34" s="8" t="s">
        <v>47</v>
      </c>
      <c r="E34" s="8" t="s">
        <v>88</v>
      </c>
      <c r="F34" s="5"/>
      <c r="G34" s="5"/>
      <c r="H34" s="5"/>
      <c r="I34" s="5"/>
      <c r="J34" s="5"/>
      <c r="K34" s="5"/>
      <c r="L34" s="5"/>
      <c r="M34" s="5"/>
      <c r="N34" s="5"/>
      <c r="O34" s="5"/>
      <c r="P34" s="5"/>
      <c r="Q34" s="5"/>
      <c r="R34" s="5"/>
      <c r="S34" s="5"/>
      <c r="T34" s="5"/>
      <c r="U34" s="5"/>
      <c r="V34" s="5"/>
      <c r="W34" s="5"/>
      <c r="X34" s="5"/>
      <c r="Y34" s="5"/>
      <c r="Z34" s="5"/>
      <c r="AA34" s="5"/>
      <c r="AB34" s="5"/>
      <c r="AC34" s="5"/>
      <c r="AD34" s="5"/>
    </row>
    <row r="35" customFormat="false" ht="15" hidden="false" customHeight="false" outlineLevel="0" collapsed="false">
      <c r="A35" s="5"/>
      <c r="B35" s="7" t="s">
        <v>70</v>
      </c>
      <c r="C35" s="17" t="n">
        <v>0.0015</v>
      </c>
      <c r="D35" s="8" t="s">
        <v>47</v>
      </c>
      <c r="E35" s="8" t="s">
        <v>89</v>
      </c>
      <c r="F35" s="5"/>
      <c r="G35" s="5"/>
      <c r="H35" s="5"/>
      <c r="I35" s="5"/>
      <c r="J35" s="5"/>
      <c r="K35" s="5"/>
      <c r="L35" s="5"/>
      <c r="M35" s="5"/>
      <c r="N35" s="5"/>
      <c r="O35" s="5"/>
      <c r="P35" s="5"/>
      <c r="Q35" s="5"/>
      <c r="R35" s="5"/>
      <c r="S35" s="5"/>
      <c r="T35" s="5"/>
      <c r="U35" s="5"/>
      <c r="V35" s="5"/>
      <c r="W35" s="5"/>
      <c r="X35" s="5"/>
      <c r="Y35" s="5"/>
      <c r="Z35" s="5"/>
      <c r="AA35" s="5"/>
      <c r="AB35" s="5"/>
      <c r="AC35" s="5"/>
      <c r="AD35" s="5"/>
    </row>
    <row r="36" customFormat="false" ht="15" hidden="false" customHeight="false" outlineLevel="0" collapsed="false">
      <c r="A36" s="5"/>
      <c r="B36" s="7" t="s">
        <v>72</v>
      </c>
      <c r="C36" s="17" t="n">
        <v>0.015</v>
      </c>
      <c r="D36" s="8" t="s">
        <v>47</v>
      </c>
      <c r="E36" s="8" t="s">
        <v>90</v>
      </c>
      <c r="F36" s="5"/>
      <c r="G36" s="5"/>
      <c r="H36" s="5"/>
      <c r="I36" s="5"/>
      <c r="J36" s="5"/>
      <c r="K36" s="5"/>
      <c r="L36" s="5"/>
      <c r="M36" s="5"/>
      <c r="N36" s="5"/>
      <c r="O36" s="5"/>
      <c r="P36" s="5"/>
      <c r="Q36" s="5"/>
      <c r="R36" s="5"/>
      <c r="S36" s="5"/>
      <c r="T36" s="5"/>
      <c r="U36" s="5"/>
      <c r="V36" s="5"/>
      <c r="W36" s="5"/>
      <c r="X36" s="5"/>
      <c r="Y36" s="5"/>
      <c r="Z36" s="5"/>
      <c r="AA36" s="5"/>
      <c r="AB36" s="5"/>
      <c r="AC36" s="5"/>
      <c r="AD36" s="5"/>
    </row>
    <row r="37" customFormat="false" ht="15" hidden="false" customHeight="false" outlineLevel="0" collapsed="false">
      <c r="A37" s="5"/>
      <c r="B37" s="7" t="s">
        <v>74</v>
      </c>
      <c r="C37" s="17" t="n">
        <v>0.01</v>
      </c>
      <c r="D37" s="8" t="s">
        <v>47</v>
      </c>
      <c r="E37" s="8" t="s">
        <v>91</v>
      </c>
      <c r="F37" s="5"/>
      <c r="G37" s="5"/>
      <c r="H37" s="5"/>
      <c r="I37" s="5"/>
      <c r="J37" s="5"/>
      <c r="K37" s="5"/>
      <c r="L37" s="5"/>
      <c r="M37" s="5"/>
      <c r="N37" s="5"/>
      <c r="O37" s="5"/>
      <c r="P37" s="5"/>
      <c r="Q37" s="5"/>
      <c r="R37" s="5"/>
      <c r="S37" s="5"/>
      <c r="T37" s="5"/>
      <c r="U37" s="5"/>
      <c r="V37" s="5"/>
      <c r="W37" s="5"/>
      <c r="X37" s="5"/>
      <c r="Y37" s="5"/>
      <c r="Z37" s="5"/>
      <c r="AA37" s="5"/>
      <c r="AB37" s="5"/>
      <c r="AC37" s="5"/>
      <c r="AD37" s="5"/>
    </row>
    <row r="38" customFormat="false" ht="15" hidden="false" customHeight="false" outlineLevel="0" collapsed="false">
      <c r="A38" s="5"/>
      <c r="B38" s="7" t="s">
        <v>76</v>
      </c>
      <c r="C38" s="17" t="n">
        <v>0.012</v>
      </c>
      <c r="D38" s="8" t="s">
        <v>47</v>
      </c>
      <c r="E38" s="8" t="s">
        <v>91</v>
      </c>
      <c r="F38" s="5"/>
      <c r="G38" s="5"/>
      <c r="H38" s="5"/>
      <c r="I38" s="5"/>
      <c r="J38" s="5"/>
      <c r="K38" s="5"/>
      <c r="L38" s="5"/>
      <c r="M38" s="5"/>
      <c r="N38" s="5"/>
      <c r="O38" s="5"/>
      <c r="P38" s="5"/>
      <c r="Q38" s="5"/>
      <c r="R38" s="5"/>
      <c r="S38" s="5"/>
      <c r="T38" s="5"/>
      <c r="U38" s="5"/>
      <c r="V38" s="5"/>
      <c r="W38" s="5"/>
      <c r="X38" s="5"/>
      <c r="Y38" s="5"/>
      <c r="Z38" s="5"/>
      <c r="AA38" s="5"/>
      <c r="AB38" s="5"/>
      <c r="AC38" s="5"/>
      <c r="AD38" s="5"/>
    </row>
    <row r="39" customFormat="false" ht="15" hidden="false" customHeight="false" outlineLevel="0" collapsed="false">
      <c r="A39" s="5"/>
      <c r="B39" s="7" t="s">
        <v>78</v>
      </c>
      <c r="C39" s="17" t="n">
        <v>0.0002</v>
      </c>
      <c r="D39" s="8" t="s">
        <v>47</v>
      </c>
      <c r="E39" s="8" t="s">
        <v>92</v>
      </c>
      <c r="F39" s="5"/>
      <c r="G39" s="5"/>
      <c r="H39" s="5"/>
      <c r="I39" s="5"/>
      <c r="J39" s="5"/>
      <c r="K39" s="5"/>
      <c r="L39" s="5"/>
      <c r="M39" s="5"/>
      <c r="N39" s="5"/>
      <c r="O39" s="5"/>
      <c r="P39" s="5"/>
      <c r="Q39" s="5"/>
      <c r="R39" s="5"/>
      <c r="S39" s="5"/>
      <c r="T39" s="5"/>
      <c r="U39" s="5"/>
      <c r="V39" s="5"/>
      <c r="W39" s="5"/>
      <c r="X39" s="5"/>
      <c r="Y39" s="5"/>
      <c r="Z39" s="5"/>
      <c r="AA39" s="5"/>
      <c r="AB39" s="5"/>
      <c r="AC39" s="5"/>
      <c r="AD39" s="5"/>
    </row>
    <row r="40" customFormat="false" ht="15" hidden="false" customHeight="false" outlineLevel="0" collapsed="false">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row>
    <row r="41" customFormat="false" ht="15" hidden="false" customHeight="false" outlineLevel="0" collapsed="false">
      <c r="A41" s="5"/>
      <c r="B41" s="15" t="s">
        <v>93</v>
      </c>
      <c r="C41" s="16"/>
      <c r="D41" s="16"/>
      <c r="E41" s="16"/>
      <c r="F41" s="5"/>
      <c r="G41" s="5"/>
      <c r="H41" s="5"/>
      <c r="I41" s="5"/>
      <c r="J41" s="5"/>
      <c r="K41" s="5"/>
      <c r="L41" s="5"/>
      <c r="M41" s="5"/>
      <c r="N41" s="5"/>
      <c r="O41" s="5"/>
      <c r="P41" s="5"/>
      <c r="Q41" s="5"/>
      <c r="R41" s="5"/>
      <c r="S41" s="5"/>
      <c r="T41" s="5"/>
      <c r="U41" s="5"/>
      <c r="V41" s="5"/>
      <c r="W41" s="5"/>
      <c r="X41" s="5"/>
      <c r="Y41" s="5"/>
      <c r="Z41" s="5"/>
      <c r="AA41" s="5"/>
      <c r="AB41" s="5"/>
      <c r="AC41" s="5"/>
      <c r="AD41" s="5"/>
    </row>
    <row r="42" customFormat="false" ht="15" hidden="false" customHeight="false" outlineLevel="0" collapsed="false">
      <c r="A42" s="5"/>
      <c r="B42" s="7" t="s">
        <v>94</v>
      </c>
      <c r="C42" s="17" t="n">
        <v>0.06</v>
      </c>
      <c r="D42" s="8" t="s">
        <v>47</v>
      </c>
      <c r="E42" s="8" t="s">
        <v>95</v>
      </c>
      <c r="F42" s="5"/>
      <c r="G42" s="5"/>
      <c r="H42" s="5"/>
      <c r="I42" s="5"/>
      <c r="J42" s="5"/>
      <c r="K42" s="5"/>
      <c r="L42" s="5"/>
      <c r="M42" s="5"/>
      <c r="N42" s="5"/>
      <c r="O42" s="5"/>
      <c r="P42" s="5"/>
      <c r="Q42" s="5"/>
      <c r="R42" s="5"/>
      <c r="S42" s="5"/>
      <c r="T42" s="5"/>
      <c r="U42" s="5"/>
      <c r="V42" s="5"/>
      <c r="W42" s="5"/>
      <c r="X42" s="5"/>
      <c r="Y42" s="5"/>
      <c r="Z42" s="5"/>
      <c r="AA42" s="5"/>
      <c r="AB42" s="5"/>
      <c r="AC42" s="5"/>
      <c r="AD42" s="5"/>
    </row>
    <row r="43" customFormat="false" ht="15" hidden="false" customHeight="false" outlineLevel="0" collapsed="false">
      <c r="A43" s="5"/>
      <c r="B43" s="7" t="s">
        <v>96</v>
      </c>
      <c r="C43" s="17" t="n">
        <v>0.2</v>
      </c>
      <c r="D43" s="8" t="s">
        <v>47</v>
      </c>
      <c r="E43" s="8" t="s">
        <v>97</v>
      </c>
      <c r="F43" s="5"/>
      <c r="G43" s="5"/>
      <c r="H43" s="5"/>
      <c r="I43" s="5"/>
      <c r="J43" s="5"/>
      <c r="K43" s="5"/>
      <c r="L43" s="5"/>
      <c r="M43" s="5"/>
      <c r="N43" s="5"/>
      <c r="O43" s="5"/>
      <c r="P43" s="5"/>
      <c r="Q43" s="5"/>
      <c r="R43" s="5"/>
      <c r="S43" s="5"/>
      <c r="T43" s="5"/>
      <c r="U43" s="5"/>
      <c r="V43" s="5"/>
      <c r="W43" s="5"/>
      <c r="X43" s="5"/>
      <c r="Y43" s="5"/>
      <c r="Z43" s="5"/>
      <c r="AA43" s="5"/>
      <c r="AB43" s="5"/>
      <c r="AC43" s="5"/>
      <c r="AD43" s="5"/>
    </row>
    <row r="44" customFormat="false" ht="15" hidden="false" customHeight="false" outlineLevel="0" collapsed="false">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row>
    <row r="45" customFormat="false" ht="15" hidden="false" customHeight="false" outlineLevel="0" collapsed="false">
      <c r="A45" s="5"/>
      <c r="B45" s="15" t="s">
        <v>98</v>
      </c>
      <c r="C45" s="16"/>
      <c r="D45" s="16"/>
      <c r="E45" s="16"/>
      <c r="F45" s="5"/>
      <c r="G45" s="5"/>
      <c r="H45" s="5"/>
      <c r="I45" s="5"/>
      <c r="J45" s="5"/>
      <c r="K45" s="5"/>
      <c r="L45" s="5"/>
      <c r="M45" s="5"/>
      <c r="N45" s="5"/>
      <c r="O45" s="5"/>
      <c r="P45" s="5"/>
      <c r="Q45" s="5"/>
      <c r="R45" s="5"/>
      <c r="S45" s="5"/>
      <c r="T45" s="5"/>
      <c r="U45" s="5"/>
      <c r="V45" s="5"/>
      <c r="W45" s="5"/>
      <c r="X45" s="5"/>
      <c r="Y45" s="5"/>
      <c r="Z45" s="5"/>
      <c r="AA45" s="5"/>
      <c r="AB45" s="5"/>
      <c r="AC45" s="5"/>
      <c r="AD45" s="5"/>
    </row>
    <row r="46" customFormat="false" ht="15" hidden="false" customHeight="false" outlineLevel="0" collapsed="false">
      <c r="A46" s="5"/>
      <c r="B46" s="7" t="s">
        <v>99</v>
      </c>
      <c r="C46" s="17" t="n">
        <v>0.0015</v>
      </c>
      <c r="D46" s="8" t="s">
        <v>47</v>
      </c>
      <c r="E46" s="8" t="s">
        <v>100</v>
      </c>
      <c r="F46" s="5"/>
      <c r="G46" s="5"/>
      <c r="H46" s="5"/>
      <c r="I46" s="5"/>
      <c r="J46" s="5"/>
      <c r="K46" s="5"/>
      <c r="L46" s="5"/>
      <c r="M46" s="5"/>
      <c r="N46" s="5"/>
      <c r="O46" s="5"/>
      <c r="P46" s="5"/>
      <c r="Q46" s="5"/>
      <c r="R46" s="5"/>
      <c r="S46" s="5"/>
      <c r="T46" s="5"/>
      <c r="U46" s="5"/>
      <c r="V46" s="5"/>
      <c r="W46" s="5"/>
      <c r="X46" s="5"/>
      <c r="Y46" s="5"/>
      <c r="Z46" s="5"/>
      <c r="AA46" s="5"/>
      <c r="AB46" s="5"/>
      <c r="AC46" s="5"/>
      <c r="AD46" s="5"/>
    </row>
    <row r="47" customFormat="false" ht="15" hidden="false" customHeight="false" outlineLevel="0" collapsed="false">
      <c r="A47" s="5"/>
      <c r="B47" s="7" t="s">
        <v>101</v>
      </c>
      <c r="C47" s="17" t="n">
        <v>0.03</v>
      </c>
      <c r="D47" s="8" t="s">
        <v>47</v>
      </c>
      <c r="E47" s="8" t="s">
        <v>102</v>
      </c>
      <c r="F47" s="5"/>
      <c r="G47" s="5"/>
      <c r="H47" s="5"/>
      <c r="I47" s="5"/>
      <c r="J47" s="5"/>
      <c r="K47" s="5"/>
      <c r="L47" s="5"/>
      <c r="M47" s="5"/>
      <c r="N47" s="5"/>
      <c r="O47" s="5"/>
      <c r="P47" s="5"/>
      <c r="Q47" s="5"/>
      <c r="R47" s="5"/>
      <c r="S47" s="5"/>
      <c r="T47" s="5"/>
      <c r="U47" s="5"/>
      <c r="V47" s="5"/>
      <c r="W47" s="5"/>
      <c r="X47" s="5"/>
      <c r="Y47" s="5"/>
      <c r="Z47" s="5"/>
      <c r="AA47" s="5"/>
      <c r="AB47" s="5"/>
      <c r="AC47" s="5"/>
      <c r="AD47" s="5"/>
    </row>
    <row r="48" customFormat="false" ht="15" hidden="false" customHeight="false" outlineLevel="0" collapsed="false">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row>
    <row r="49" customFormat="false" ht="15" hidden="false" customHeight="false" outlineLevel="0" collapsed="false">
      <c r="A49" s="5"/>
      <c r="B49" s="15" t="s">
        <v>103</v>
      </c>
      <c r="C49" s="16"/>
      <c r="D49" s="16"/>
      <c r="E49" s="16"/>
      <c r="F49" s="5"/>
      <c r="G49" s="5"/>
      <c r="H49" s="5"/>
      <c r="I49" s="5"/>
      <c r="J49" s="5"/>
      <c r="K49" s="5"/>
      <c r="L49" s="5"/>
      <c r="M49" s="5"/>
      <c r="N49" s="5"/>
      <c r="O49" s="5"/>
      <c r="P49" s="5"/>
      <c r="Q49" s="5"/>
      <c r="R49" s="5"/>
      <c r="S49" s="5"/>
      <c r="T49" s="5"/>
      <c r="U49" s="5"/>
      <c r="V49" s="5"/>
      <c r="W49" s="5"/>
      <c r="X49" s="5"/>
      <c r="Y49" s="5"/>
      <c r="Z49" s="5"/>
      <c r="AA49" s="5"/>
      <c r="AB49" s="5"/>
      <c r="AC49" s="5"/>
      <c r="AD49" s="5"/>
    </row>
    <row r="50" customFormat="false" ht="15" hidden="false" customHeight="false" outlineLevel="0" collapsed="false">
      <c r="A50" s="5"/>
      <c r="B50" s="7" t="s">
        <v>104</v>
      </c>
      <c r="C50" s="17" t="n">
        <v>0.035</v>
      </c>
      <c r="D50" s="8" t="s">
        <v>47</v>
      </c>
      <c r="E50" s="8" t="s">
        <v>105</v>
      </c>
      <c r="F50" s="5"/>
      <c r="G50" s="5"/>
      <c r="H50" s="5"/>
      <c r="I50" s="5"/>
      <c r="J50" s="5"/>
      <c r="K50" s="5"/>
      <c r="L50" s="5"/>
      <c r="M50" s="5"/>
      <c r="N50" s="5"/>
      <c r="O50" s="5"/>
      <c r="P50" s="5"/>
      <c r="Q50" s="5"/>
      <c r="R50" s="5"/>
      <c r="S50" s="5"/>
      <c r="T50" s="5"/>
      <c r="U50" s="5"/>
      <c r="V50" s="5"/>
      <c r="W50" s="5"/>
      <c r="X50" s="5"/>
      <c r="Y50" s="5"/>
      <c r="Z50" s="5"/>
      <c r="AA50" s="5"/>
      <c r="AB50" s="5"/>
      <c r="AC50" s="5"/>
      <c r="AD50" s="5"/>
    </row>
    <row r="51" customFormat="false" ht="15" hidden="false" customHeight="false" outlineLevel="0" collapsed="false">
      <c r="A51" s="5"/>
      <c r="B51" s="7" t="s">
        <v>106</v>
      </c>
      <c r="C51" s="19" t="n">
        <v>3</v>
      </c>
      <c r="D51" s="8" t="s">
        <v>107</v>
      </c>
      <c r="E51" s="8" t="s">
        <v>108</v>
      </c>
      <c r="F51" s="5"/>
      <c r="G51" s="5"/>
      <c r="H51" s="5"/>
      <c r="I51" s="5"/>
      <c r="J51" s="5"/>
      <c r="K51" s="5"/>
      <c r="L51" s="5"/>
      <c r="M51" s="5"/>
      <c r="N51" s="5"/>
      <c r="O51" s="5"/>
      <c r="P51" s="5"/>
      <c r="Q51" s="5"/>
      <c r="R51" s="5"/>
      <c r="S51" s="5"/>
      <c r="T51" s="5"/>
      <c r="U51" s="5"/>
      <c r="V51" s="5"/>
      <c r="W51" s="5"/>
      <c r="X51" s="5"/>
      <c r="Y51" s="5"/>
      <c r="Z51" s="5"/>
      <c r="AA51" s="5"/>
      <c r="AB51" s="5"/>
      <c r="AC51" s="5"/>
      <c r="AD51" s="5"/>
    </row>
    <row r="52" customFormat="false" ht="15" hidden="false" customHeight="false" outlineLevel="0" collapsed="false">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row>
    <row r="53" customFormat="false" ht="15" hidden="false" customHeight="false" outlineLevel="0" collapsed="false">
      <c r="A53" s="5"/>
      <c r="B53" s="15" t="s">
        <v>109</v>
      </c>
      <c r="C53" s="16"/>
      <c r="D53" s="16"/>
      <c r="E53" s="16"/>
      <c r="F53" s="5"/>
      <c r="G53" s="5"/>
      <c r="H53" s="5"/>
      <c r="I53" s="5"/>
      <c r="J53" s="5"/>
      <c r="K53" s="5"/>
      <c r="L53" s="5"/>
      <c r="M53" s="5"/>
      <c r="N53" s="5"/>
      <c r="O53" s="5"/>
      <c r="P53" s="5"/>
      <c r="Q53" s="5"/>
      <c r="R53" s="5"/>
      <c r="S53" s="5"/>
      <c r="T53" s="5"/>
      <c r="U53" s="5"/>
      <c r="V53" s="5"/>
      <c r="W53" s="5"/>
      <c r="X53" s="5"/>
      <c r="Y53" s="5"/>
      <c r="Z53" s="5"/>
      <c r="AA53" s="5"/>
      <c r="AB53" s="5"/>
      <c r="AC53" s="5"/>
      <c r="AD53" s="5"/>
    </row>
    <row r="54" customFormat="false" ht="15" hidden="false" customHeight="false" outlineLevel="0" collapsed="false">
      <c r="A54" s="5"/>
      <c r="B54" s="7" t="s">
        <v>110</v>
      </c>
      <c r="C54" s="18" t="n">
        <v>250000</v>
      </c>
      <c r="D54" s="8" t="s">
        <v>65</v>
      </c>
      <c r="E54" s="8" t="s">
        <v>111</v>
      </c>
      <c r="F54" s="5"/>
      <c r="G54" s="5"/>
      <c r="H54" s="5"/>
      <c r="I54" s="5"/>
      <c r="J54" s="5"/>
      <c r="K54" s="5"/>
      <c r="L54" s="5"/>
      <c r="M54" s="5"/>
      <c r="N54" s="5"/>
      <c r="O54" s="5"/>
      <c r="P54" s="5"/>
      <c r="Q54" s="5"/>
      <c r="R54" s="5"/>
      <c r="S54" s="5"/>
      <c r="T54" s="5"/>
      <c r="U54" s="5"/>
      <c r="V54" s="5"/>
      <c r="W54" s="5"/>
      <c r="X54" s="5"/>
      <c r="Y54" s="5"/>
      <c r="Z54" s="5"/>
      <c r="AA54" s="5"/>
      <c r="AB54" s="5"/>
      <c r="AC54" s="5"/>
      <c r="AD54" s="5"/>
    </row>
    <row r="55" customFormat="false" ht="15" hidden="false" customHeight="false" outlineLevel="0" collapsed="false">
      <c r="A55" s="5"/>
      <c r="B55" s="7" t="s">
        <v>112</v>
      </c>
      <c r="C55" s="19" t="n">
        <v>2025</v>
      </c>
      <c r="D55" s="8" t="s">
        <v>113</v>
      </c>
      <c r="E55" s="8" t="s">
        <v>114</v>
      </c>
      <c r="F55" s="5"/>
      <c r="G55" s="5"/>
      <c r="H55" s="5"/>
      <c r="I55" s="5"/>
      <c r="J55" s="5"/>
      <c r="K55" s="5"/>
      <c r="L55" s="5"/>
      <c r="M55" s="5"/>
      <c r="N55" s="5"/>
      <c r="O55" s="5"/>
      <c r="P55" s="5"/>
      <c r="Q55" s="5"/>
      <c r="R55" s="5"/>
      <c r="S55" s="5"/>
      <c r="T55" s="5"/>
      <c r="U55" s="5"/>
      <c r="V55" s="5"/>
      <c r="W55" s="5"/>
      <c r="X55" s="5"/>
      <c r="Y55" s="5"/>
      <c r="Z55" s="5"/>
      <c r="AA55" s="5"/>
      <c r="AB55" s="5"/>
      <c r="AC55" s="5"/>
      <c r="AD55"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12" min="3" style="0" width="16"/>
  </cols>
  <sheetData>
    <row r="1" customFormat="false" ht="15" hidden="false" customHeight="false" outlineLevel="0" collapsed="false">
      <c r="A1" s="5"/>
      <c r="B1" s="5"/>
    </row>
    <row r="2" customFormat="false" ht="31.5" hidden="false" customHeight="true" outlineLevel="0" collapsed="false">
      <c r="A2" s="5"/>
      <c r="B2" s="20" t="s">
        <v>115</v>
      </c>
    </row>
    <row r="3" customFormat="false" ht="3.75" hidden="false" customHeight="true" outlineLevel="0" collapsed="false">
      <c r="A3" s="5"/>
      <c r="B3" s="21"/>
    </row>
    <row r="4" customFormat="false" ht="15" hidden="false" customHeight="false" outlineLevel="0" collapsed="false">
      <c r="A4" s="5"/>
      <c r="B4" s="5"/>
    </row>
    <row r="5" customFormat="false" ht="19.5" hidden="false" customHeight="true" outlineLevel="0" collapsed="false">
      <c r="A5" s="5"/>
      <c r="B5" s="22" t="s">
        <v>116</v>
      </c>
    </row>
    <row r="6" customFormat="false" ht="48" hidden="false" customHeight="true" outlineLevel="0" collapsed="false">
      <c r="A6" s="5"/>
      <c r="B6" s="23" t="s">
        <v>117</v>
      </c>
    </row>
    <row r="7" customFormat="false" ht="15" hidden="false" customHeight="false" outlineLevel="0" collapsed="false">
      <c r="A7" s="5"/>
      <c r="B7" s="5"/>
    </row>
    <row r="8" customFormat="false" ht="19.5" hidden="false" customHeight="true" outlineLevel="0" collapsed="false">
      <c r="A8" s="5"/>
      <c r="B8" s="22" t="s">
        <v>118</v>
      </c>
    </row>
    <row r="9" customFormat="false" ht="61.5" hidden="false" customHeight="true" outlineLevel="0" collapsed="false">
      <c r="A9" s="5"/>
      <c r="B9" s="23" t="s">
        <v>119</v>
      </c>
    </row>
    <row r="10" customFormat="false" ht="15" hidden="false" customHeight="false" outlineLevel="0" collapsed="false">
      <c r="A10" s="5"/>
      <c r="B10" s="5"/>
    </row>
    <row r="11" customFormat="false" ht="19.5" hidden="false" customHeight="true" outlineLevel="0" collapsed="false">
      <c r="A11" s="5"/>
      <c r="B11" s="22" t="s">
        <v>120</v>
      </c>
    </row>
    <row r="12" customFormat="false" ht="75.75" hidden="false" customHeight="true" outlineLevel="0" collapsed="false">
      <c r="A12" s="5"/>
      <c r="B12" s="23" t="s">
        <v>121</v>
      </c>
    </row>
    <row r="13" customFormat="false" ht="15" hidden="false" customHeight="false" outlineLevel="0" collapsed="false">
      <c r="A13" s="5"/>
      <c r="B13" s="5"/>
    </row>
    <row r="14" customFormat="false" ht="19.5" hidden="false" customHeight="true" outlineLevel="0" collapsed="false">
      <c r="A14" s="5"/>
      <c r="B14" s="22" t="s">
        <v>122</v>
      </c>
    </row>
    <row r="15" customFormat="false" ht="61.5" hidden="false" customHeight="true" outlineLevel="0" collapsed="false">
      <c r="A15" s="5"/>
      <c r="B15" s="23" t="s">
        <v>123</v>
      </c>
    </row>
    <row r="16" customFormat="false" ht="15" hidden="false" customHeight="false" outlineLevel="0" collapsed="false">
      <c r="A16" s="5"/>
      <c r="B16" s="5"/>
    </row>
    <row r="17" customFormat="false" ht="19.5" hidden="false" customHeight="true" outlineLevel="0" collapsed="false">
      <c r="A17" s="5"/>
      <c r="B17" s="22" t="s">
        <v>124</v>
      </c>
    </row>
    <row r="18" customFormat="false" ht="33.75" hidden="false" customHeight="true" outlineLevel="0" collapsed="false">
      <c r="A18" s="5"/>
      <c r="B18" s="23" t="s">
        <v>125</v>
      </c>
    </row>
    <row r="19" customFormat="false" ht="15" hidden="false" customHeight="false" outlineLevel="0" collapsed="false">
      <c r="A19" s="5"/>
      <c r="B19" s="5"/>
    </row>
    <row r="20" customFormat="false" ht="19.5" hidden="false" customHeight="true" outlineLevel="0" collapsed="false">
      <c r="A20" s="5"/>
      <c r="B20" s="22" t="s">
        <v>126</v>
      </c>
    </row>
    <row r="21" customFormat="false" ht="33.75" hidden="false" customHeight="true" outlineLevel="0" collapsed="false">
      <c r="A21" s="5"/>
      <c r="B21" s="23" t="s">
        <v>127</v>
      </c>
    </row>
    <row r="22" customFormat="false" ht="15" hidden="false" customHeight="false" outlineLevel="0" collapsed="false">
      <c r="A22" s="5"/>
      <c r="B22" s="5"/>
    </row>
    <row r="23" customFormat="false" ht="21.75" hidden="false" customHeight="true" outlineLevel="0" collapsed="false">
      <c r="A23" s="5"/>
      <c r="B23" s="24" t="s">
        <v>128</v>
      </c>
    </row>
    <row r="24" customFormat="false" ht="15" hidden="false" customHeight="false" outlineLevel="0" collapsed="false">
      <c r="A24" s="5"/>
      <c r="B24" s="5"/>
    </row>
    <row r="25" customFormat="false" ht="18" hidden="false" customHeight="true" outlineLevel="0" collapsed="false">
      <c r="A25" s="5"/>
      <c r="B25" s="25" t="s">
        <v>129</v>
      </c>
    </row>
    <row r="26" customFormat="false" ht="201.75" hidden="false" customHeight="true" outlineLevel="0" collapsed="false">
      <c r="A26" s="5"/>
      <c r="B26" s="26" t="s">
        <v>130</v>
      </c>
    </row>
    <row r="27" customFormat="false" ht="15" hidden="false" customHeight="false" outlineLevel="0" collapsed="false">
      <c r="A27" s="5"/>
      <c r="B27" s="5"/>
    </row>
    <row r="28" customFormat="false" ht="18" hidden="false" customHeight="true" outlineLevel="0" collapsed="false">
      <c r="A28" s="5"/>
      <c r="B28" s="27" t="s">
        <v>131</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E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5" min="3" style="0" width="16"/>
  </cols>
  <sheetData>
    <row r="1" customFormat="false" ht="15" hidden="false" customHeight="false" outlineLevel="0" collapsed="false">
      <c r="A1" s="5"/>
      <c r="B1" s="5"/>
      <c r="C1" s="5"/>
      <c r="D1" s="5"/>
      <c r="E1" s="5"/>
    </row>
    <row r="2" customFormat="false" ht="22.05" hidden="false" customHeight="false" outlineLevel="0" collapsed="false">
      <c r="A2" s="5"/>
      <c r="B2" s="28" t="s">
        <v>132</v>
      </c>
      <c r="C2" s="5"/>
      <c r="D2" s="5"/>
      <c r="E2" s="5"/>
    </row>
    <row r="3" customFormat="false" ht="15" hidden="false" customHeight="false" outlineLevel="0" collapsed="false">
      <c r="A3" s="5"/>
      <c r="B3" s="29" t="s">
        <v>13</v>
      </c>
      <c r="C3" s="5"/>
      <c r="D3" s="5"/>
      <c r="E3" s="5"/>
    </row>
    <row r="4" customFormat="false" ht="15" hidden="false" customHeight="false" outlineLevel="0" collapsed="false">
      <c r="A4" s="5"/>
      <c r="B4" s="30" t="s">
        <v>133</v>
      </c>
      <c r="C4" s="31" t="s">
        <v>134</v>
      </c>
      <c r="D4" s="31" t="s">
        <v>135</v>
      </c>
      <c r="E4" s="31" t="s">
        <v>136</v>
      </c>
    </row>
    <row r="5" customFormat="false" ht="15" hidden="false" customHeight="false" outlineLevel="0" collapsed="false">
      <c r="A5" s="5"/>
      <c r="B5" s="5"/>
      <c r="C5" s="5"/>
      <c r="D5" s="5"/>
      <c r="E5" s="5"/>
    </row>
    <row r="6" customFormat="false" ht="15" hidden="false" customHeight="false" outlineLevel="0" collapsed="false">
      <c r="A6" s="5"/>
      <c r="B6" s="32" t="s">
        <v>68</v>
      </c>
      <c r="C6" s="33" t="n">
        <f aca="false">Wt_Pub_Eq</f>
        <v>0.38</v>
      </c>
      <c r="D6" s="33" t="n">
        <f aca="false">Ret_Pub_Eq</f>
        <v>0.075</v>
      </c>
      <c r="E6" s="33" t="n">
        <f aca="false">Fee_Pub_Eq</f>
        <v>0.001</v>
      </c>
    </row>
    <row r="7" customFormat="false" ht="15" hidden="false" customHeight="false" outlineLevel="0" collapsed="false">
      <c r="A7" s="5"/>
      <c r="B7" s="32" t="s">
        <v>70</v>
      </c>
      <c r="C7" s="33" t="n">
        <f aca="false">Wt_FI</f>
        <v>0.22</v>
      </c>
      <c r="D7" s="33" t="n">
        <f aca="false">Ret_FI</f>
        <v>0.04</v>
      </c>
      <c r="E7" s="33" t="n">
        <f aca="false">Fee_FI</f>
        <v>0.0015</v>
      </c>
    </row>
    <row r="8" customFormat="false" ht="15" hidden="false" customHeight="false" outlineLevel="0" collapsed="false">
      <c r="A8" s="5"/>
      <c r="B8" s="32" t="s">
        <v>72</v>
      </c>
      <c r="C8" s="33" t="n">
        <f aca="false">Wt_PE</f>
        <v>0.15</v>
      </c>
      <c r="D8" s="33" t="n">
        <f aca="false">Ret_PE</f>
        <v>0.12</v>
      </c>
      <c r="E8" s="33" t="n">
        <f aca="false">Fee_PE</f>
        <v>0.015</v>
      </c>
    </row>
    <row r="9" customFormat="false" ht="15" hidden="false" customHeight="false" outlineLevel="0" collapsed="false">
      <c r="A9" s="5"/>
      <c r="B9" s="32" t="s">
        <v>74</v>
      </c>
      <c r="C9" s="33" t="n">
        <f aca="false">Wt_RE</f>
        <v>0.1</v>
      </c>
      <c r="D9" s="33" t="n">
        <f aca="false">Ret_RE</f>
        <v>0.07</v>
      </c>
      <c r="E9" s="33" t="n">
        <f aca="false">Fee_RE</f>
        <v>0.01</v>
      </c>
    </row>
    <row r="10" customFormat="false" ht="15" hidden="false" customHeight="false" outlineLevel="0" collapsed="false">
      <c r="A10" s="5"/>
      <c r="B10" s="32" t="s">
        <v>76</v>
      </c>
      <c r="C10" s="33" t="n">
        <f aca="false">Wt_Infra</f>
        <v>0.1</v>
      </c>
      <c r="D10" s="33" t="n">
        <f aca="false">Ret_Infra</f>
        <v>0.08</v>
      </c>
      <c r="E10" s="33" t="n">
        <f aca="false">Fee_Infra</f>
        <v>0.012</v>
      </c>
    </row>
    <row r="11" customFormat="false" ht="15" hidden="false" customHeight="false" outlineLevel="0" collapsed="false">
      <c r="A11" s="5"/>
      <c r="B11" s="32" t="s">
        <v>78</v>
      </c>
      <c r="C11" s="33" t="n">
        <f aca="false">Wt_Cash</f>
        <v>0.05</v>
      </c>
      <c r="D11" s="33" t="n">
        <f aca="false">Ret_Cash</f>
        <v>0.03</v>
      </c>
      <c r="E11" s="33" t="n">
        <f aca="false">Fee_Cash</f>
        <v>0.0002</v>
      </c>
    </row>
    <row r="12" customFormat="false" ht="15" hidden="false" customHeight="false" outlineLevel="0" collapsed="false">
      <c r="A12" s="5"/>
      <c r="B12" s="5"/>
      <c r="C12" s="5"/>
      <c r="D12" s="5"/>
      <c r="E12" s="5"/>
    </row>
    <row r="13" customFormat="false" ht="15" hidden="false" customHeight="false" outlineLevel="0" collapsed="false">
      <c r="A13" s="5"/>
      <c r="B13" s="34" t="s">
        <v>137</v>
      </c>
      <c r="C13" s="35" t="n">
        <f aca="false">SUM(C6:C11)</f>
        <v>1</v>
      </c>
      <c r="D13" s="36"/>
      <c r="E13" s="36"/>
    </row>
    <row r="14" customFormat="false" ht="15" hidden="false" customHeight="false" outlineLevel="0" collapsed="false">
      <c r="A14" s="5"/>
      <c r="B14" s="5"/>
      <c r="C14" s="5"/>
      <c r="D14" s="5"/>
      <c r="E14" s="5"/>
    </row>
    <row r="15" customFormat="false" ht="15" hidden="false" customHeight="false" outlineLevel="0" collapsed="false">
      <c r="A15" s="5"/>
      <c r="B15" s="37" t="s">
        <v>138</v>
      </c>
      <c r="C15" s="10"/>
      <c r="D15" s="10"/>
      <c r="E15" s="10"/>
    </row>
    <row r="16" customFormat="false" ht="15" hidden="false" customHeight="false" outlineLevel="0" collapsed="false">
      <c r="A16" s="5"/>
      <c r="B16" s="32" t="s">
        <v>68</v>
      </c>
      <c r="C16" s="33" t="n">
        <f aca="false">C6*D6</f>
        <v>0.0285</v>
      </c>
      <c r="D16" s="5"/>
      <c r="E16" s="5"/>
    </row>
    <row r="17" customFormat="false" ht="15" hidden="false" customHeight="false" outlineLevel="0" collapsed="false">
      <c r="A17" s="5"/>
      <c r="B17" s="32" t="s">
        <v>70</v>
      </c>
      <c r="C17" s="33" t="n">
        <f aca="false">C7*D7</f>
        <v>0.0088</v>
      </c>
      <c r="D17" s="5"/>
      <c r="E17" s="5"/>
    </row>
    <row r="18" customFormat="false" ht="15" hidden="false" customHeight="false" outlineLevel="0" collapsed="false">
      <c r="A18" s="5"/>
      <c r="B18" s="32" t="s">
        <v>72</v>
      </c>
      <c r="C18" s="33" t="n">
        <f aca="false">C8*D8</f>
        <v>0.018</v>
      </c>
      <c r="D18" s="5"/>
      <c r="E18" s="5"/>
    </row>
    <row r="19" customFormat="false" ht="15" hidden="false" customHeight="false" outlineLevel="0" collapsed="false">
      <c r="A19" s="5"/>
      <c r="B19" s="32" t="s">
        <v>74</v>
      </c>
      <c r="C19" s="33" t="n">
        <f aca="false">C9*D9</f>
        <v>0.007</v>
      </c>
      <c r="D19" s="5"/>
      <c r="E19" s="5"/>
    </row>
    <row r="20" customFormat="false" ht="15" hidden="false" customHeight="false" outlineLevel="0" collapsed="false">
      <c r="A20" s="5"/>
      <c r="B20" s="32" t="s">
        <v>76</v>
      </c>
      <c r="C20" s="33" t="n">
        <f aca="false">C10*D10</f>
        <v>0.008</v>
      </c>
      <c r="D20" s="5"/>
      <c r="E20" s="5"/>
    </row>
    <row r="21" customFormat="false" ht="15" hidden="false" customHeight="false" outlineLevel="0" collapsed="false">
      <c r="A21" s="5"/>
      <c r="B21" s="32" t="s">
        <v>78</v>
      </c>
      <c r="C21" s="33" t="n">
        <f aca="false">C11*D11</f>
        <v>0.0015</v>
      </c>
      <c r="D21" s="5"/>
      <c r="E21" s="5"/>
    </row>
    <row r="22" customFormat="false" ht="15" hidden="false" customHeight="false" outlineLevel="0" collapsed="false">
      <c r="A22" s="5"/>
      <c r="B22" s="5"/>
      <c r="C22" s="5"/>
      <c r="D22" s="5"/>
      <c r="E22" s="5"/>
    </row>
    <row r="23" customFormat="false" ht="15" hidden="false" customHeight="false" outlineLevel="0" collapsed="false">
      <c r="A23" s="5"/>
      <c r="B23" s="34" t="s">
        <v>139</v>
      </c>
      <c r="C23" s="35" t="n">
        <f aca="false">SUM(C16:C21)</f>
        <v>0.0718</v>
      </c>
      <c r="D23" s="5"/>
      <c r="E23"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L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6"/>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8" t="s">
        <v>14</v>
      </c>
      <c r="C2" s="5"/>
      <c r="D2" s="5"/>
      <c r="E2" s="5"/>
      <c r="F2" s="5"/>
      <c r="G2" s="5"/>
      <c r="H2" s="5"/>
      <c r="I2" s="5"/>
      <c r="J2" s="5"/>
      <c r="K2" s="5"/>
      <c r="L2" s="5"/>
    </row>
    <row r="3" customFormat="false" ht="15" hidden="false" customHeight="false" outlineLevel="0" collapsed="false">
      <c r="A3" s="5"/>
      <c r="B3" s="29" t="s">
        <v>15</v>
      </c>
      <c r="C3" s="5"/>
      <c r="D3" s="5"/>
      <c r="E3" s="5"/>
      <c r="F3" s="5"/>
      <c r="G3" s="5"/>
      <c r="H3" s="5"/>
      <c r="I3" s="5"/>
      <c r="J3" s="5"/>
      <c r="K3" s="5"/>
      <c r="L3" s="5"/>
    </row>
    <row r="4" customFormat="false" ht="15" hidden="false" customHeight="false" outlineLevel="0" collapsed="false">
      <c r="A4" s="5"/>
      <c r="B4" s="30" t="s">
        <v>140</v>
      </c>
      <c r="C4" s="38" t="n">
        <f aca="false">Model_Start_Year+COLUMN()-3</f>
        <v>2025</v>
      </c>
      <c r="D4" s="38" t="n">
        <f aca="false">Model_Start_Year+COLUMN()-3</f>
        <v>2026</v>
      </c>
      <c r="E4" s="38" t="n">
        <f aca="false">Model_Start_Year+COLUMN()-3</f>
        <v>2027</v>
      </c>
      <c r="F4" s="38" t="n">
        <f aca="false">Model_Start_Year+COLUMN()-3</f>
        <v>2028</v>
      </c>
      <c r="G4" s="38" t="n">
        <f aca="false">Model_Start_Year+COLUMN()-3</f>
        <v>2029</v>
      </c>
      <c r="H4" s="38" t="n">
        <f aca="false">Model_Start_Year+COLUMN()-3</f>
        <v>2030</v>
      </c>
      <c r="I4" s="38" t="n">
        <f aca="false">Model_Start_Year+COLUMN()-3</f>
        <v>2031</v>
      </c>
      <c r="J4" s="38" t="n">
        <f aca="false">Model_Start_Year+COLUMN()-3</f>
        <v>2032</v>
      </c>
      <c r="K4" s="38" t="n">
        <f aca="false">Model_Start_Year+COLUMN()-3</f>
        <v>2033</v>
      </c>
      <c r="L4" s="38" t="n">
        <f aca="false">Model_Start_Year+COLUMN()-3</f>
        <v>2034</v>
      </c>
    </row>
    <row r="5" customFormat="false" ht="15" hidden="false" customHeight="false" outlineLevel="0" collapsed="false">
      <c r="A5" s="5"/>
      <c r="B5" s="5"/>
      <c r="C5" s="5"/>
      <c r="D5" s="5"/>
      <c r="E5" s="5"/>
      <c r="F5" s="5"/>
      <c r="G5" s="5"/>
      <c r="H5" s="5"/>
      <c r="I5" s="5"/>
      <c r="J5" s="5"/>
      <c r="K5" s="5"/>
      <c r="L5" s="5"/>
    </row>
    <row r="6" customFormat="false" ht="15" hidden="false" customHeight="false" outlineLevel="0" collapsed="false">
      <c r="A6" s="5"/>
      <c r="B6" s="7" t="s">
        <v>141</v>
      </c>
      <c r="C6" s="39" t="n">
        <f aca="false">Oil_Price*(1+Inflation_Rate)^(COLUMN()-3)</f>
        <v>75</v>
      </c>
      <c r="D6" s="39" t="n">
        <f aca="false">Oil_Price*(1+Inflation_Rate)^(COLUMN()-3)</f>
        <v>76.875</v>
      </c>
      <c r="E6" s="39" t="n">
        <f aca="false">Oil_Price*(1+Inflation_Rate)^(COLUMN()-3)</f>
        <v>78.796875</v>
      </c>
      <c r="F6" s="39" t="n">
        <f aca="false">Oil_Price*(1+Inflation_Rate)^(COLUMN()-3)</f>
        <v>80.766796875</v>
      </c>
      <c r="G6" s="39" t="n">
        <f aca="false">Oil_Price*(1+Inflation_Rate)^(COLUMN()-3)</f>
        <v>82.785966796875</v>
      </c>
      <c r="H6" s="39" t="n">
        <f aca="false">Oil_Price*(1+Inflation_Rate)^(COLUMN()-3)</f>
        <v>84.8556159667968</v>
      </c>
      <c r="I6" s="39" t="n">
        <f aca="false">Oil_Price*(1+Inflation_Rate)^(COLUMN()-3)</f>
        <v>86.9770063659667</v>
      </c>
      <c r="J6" s="39" t="n">
        <f aca="false">Oil_Price*(1+Inflation_Rate)^(COLUMN()-3)</f>
        <v>89.1514315251159</v>
      </c>
      <c r="K6" s="39" t="n">
        <f aca="false">Oil_Price*(1+Inflation_Rate)^(COLUMN()-3)</f>
        <v>91.3802173132438</v>
      </c>
      <c r="L6" s="39" t="n">
        <f aca="false">Oil_Price*(1+Inflation_Rate)^(COLUMN()-3)</f>
        <v>93.6647227460749</v>
      </c>
    </row>
    <row r="7" customFormat="false" ht="15" hidden="false" customHeight="false" outlineLevel="0" collapsed="false">
      <c r="A7" s="5"/>
      <c r="B7" s="7" t="s">
        <v>142</v>
      </c>
      <c r="C7" s="39" t="n">
        <f aca="false">Oil_Production</f>
        <v>3.5</v>
      </c>
      <c r="D7" s="39" t="n">
        <f aca="false">Oil_Production</f>
        <v>3.5</v>
      </c>
      <c r="E7" s="39" t="n">
        <f aca="false">Oil_Production</f>
        <v>3.5</v>
      </c>
      <c r="F7" s="39" t="n">
        <f aca="false">Oil_Production</f>
        <v>3.5</v>
      </c>
      <c r="G7" s="39" t="n">
        <f aca="false">Oil_Production</f>
        <v>3.5</v>
      </c>
      <c r="H7" s="39" t="n">
        <f aca="false">Oil_Production</f>
        <v>3.5</v>
      </c>
      <c r="I7" s="39" t="n">
        <f aca="false">Oil_Production</f>
        <v>3.5</v>
      </c>
      <c r="J7" s="39" t="n">
        <f aca="false">Oil_Production</f>
        <v>3.5</v>
      </c>
      <c r="K7" s="39" t="n">
        <f aca="false">Oil_Production</f>
        <v>3.5</v>
      </c>
      <c r="L7" s="39" t="n">
        <f aca="false">Oil_Production</f>
        <v>3.5</v>
      </c>
    </row>
    <row r="8" customFormat="false" ht="15" hidden="false" customHeight="false" outlineLevel="0" collapsed="false">
      <c r="A8" s="5"/>
      <c r="B8" s="6" t="s">
        <v>143</v>
      </c>
      <c r="C8" s="40" t="n">
        <f aca="false">C6*C7*365</f>
        <v>95812.5</v>
      </c>
      <c r="D8" s="40" t="n">
        <f aca="false">D6*D7*365</f>
        <v>98207.8125</v>
      </c>
      <c r="E8" s="40" t="n">
        <f aca="false">E6*E7*365</f>
        <v>100663.0078125</v>
      </c>
      <c r="F8" s="40" t="n">
        <f aca="false">F6*F7*365</f>
        <v>103179.583007812</v>
      </c>
      <c r="G8" s="40" t="n">
        <f aca="false">G6*G7*365</f>
        <v>105759.072583008</v>
      </c>
      <c r="H8" s="40" t="n">
        <f aca="false">H6*H7*365</f>
        <v>108403.049397583</v>
      </c>
      <c r="I8" s="40" t="n">
        <f aca="false">I6*I7*365</f>
        <v>111113.125632523</v>
      </c>
      <c r="J8" s="40" t="n">
        <f aca="false">J6*J7*365</f>
        <v>113890.953773336</v>
      </c>
      <c r="K8" s="40" t="n">
        <f aca="false">K6*K7*365</f>
        <v>116738.227617669</v>
      </c>
      <c r="L8" s="40" t="n">
        <f aca="false">L6*L7*365</f>
        <v>119656.683308111</v>
      </c>
    </row>
    <row r="9" customFormat="false" ht="15" hidden="false" customHeight="false" outlineLevel="0" collapsed="false">
      <c r="A9" s="5"/>
      <c r="B9" s="5"/>
      <c r="C9" s="5"/>
      <c r="D9" s="5"/>
      <c r="E9" s="5"/>
      <c r="F9" s="5"/>
      <c r="G9" s="5"/>
      <c r="H9" s="5"/>
      <c r="I9" s="5"/>
      <c r="J9" s="5"/>
      <c r="K9" s="5"/>
      <c r="L9" s="5"/>
    </row>
    <row r="10" customFormat="false" ht="15" hidden="false" customHeight="false" outlineLevel="0" collapsed="false">
      <c r="A10" s="5"/>
      <c r="B10" s="7" t="s">
        <v>144</v>
      </c>
      <c r="C10" s="41" t="n">
        <f aca="false">Price_Threshold*Oil_Production*365</f>
        <v>57487.5</v>
      </c>
      <c r="D10" s="41" t="n">
        <f aca="false">Price_Threshold*Oil_Production*365</f>
        <v>57487.5</v>
      </c>
      <c r="E10" s="41" t="n">
        <f aca="false">Price_Threshold*Oil_Production*365</f>
        <v>57487.5</v>
      </c>
      <c r="F10" s="41" t="n">
        <f aca="false">Price_Threshold*Oil_Production*365</f>
        <v>57487.5</v>
      </c>
      <c r="G10" s="41" t="n">
        <f aca="false">Price_Threshold*Oil_Production*365</f>
        <v>57487.5</v>
      </c>
      <c r="H10" s="41" t="n">
        <f aca="false">Price_Threshold*Oil_Production*365</f>
        <v>57487.5</v>
      </c>
      <c r="I10" s="41" t="n">
        <f aca="false">Price_Threshold*Oil_Production*365</f>
        <v>57487.5</v>
      </c>
      <c r="J10" s="41" t="n">
        <f aca="false">Price_Threshold*Oil_Production*365</f>
        <v>57487.5</v>
      </c>
      <c r="K10" s="41" t="n">
        <f aca="false">Price_Threshold*Oil_Production*365</f>
        <v>57487.5</v>
      </c>
      <c r="L10" s="41" t="n">
        <f aca="false">Price_Threshold*Oil_Production*365</f>
        <v>57487.5</v>
      </c>
    </row>
    <row r="11" customFormat="false" ht="15" hidden="false" customHeight="false" outlineLevel="0" collapsed="false">
      <c r="A11" s="5"/>
      <c r="B11" s="7" t="s">
        <v>145</v>
      </c>
      <c r="C11" s="41" t="n">
        <f aca="false">MAX(0,C8-C10)</f>
        <v>38325</v>
      </c>
      <c r="D11" s="41" t="n">
        <f aca="false">MAX(0,D8-D10)</f>
        <v>40720.3125</v>
      </c>
      <c r="E11" s="41" t="n">
        <f aca="false">MAX(0,E8-E10)</f>
        <v>43175.5078125</v>
      </c>
      <c r="F11" s="41" t="n">
        <f aca="false">MAX(0,F8-F10)</f>
        <v>45692.0830078125</v>
      </c>
      <c r="G11" s="41" t="n">
        <f aca="false">MAX(0,G8-G10)</f>
        <v>48271.5725830078</v>
      </c>
      <c r="H11" s="41" t="n">
        <f aca="false">MAX(0,H8-H10)</f>
        <v>50915.549397583</v>
      </c>
      <c r="I11" s="41" t="n">
        <f aca="false">MAX(0,I8-I10)</f>
        <v>53625.6256325225</v>
      </c>
      <c r="J11" s="41" t="n">
        <f aca="false">MAX(0,J8-J10)</f>
        <v>56403.4537733356</v>
      </c>
      <c r="K11" s="41" t="n">
        <f aca="false">MAX(0,K8-K10)</f>
        <v>59250.727617669</v>
      </c>
      <c r="L11" s="41" t="n">
        <f aca="false">MAX(0,L8-L10)</f>
        <v>62169.1833081107</v>
      </c>
    </row>
    <row r="12" customFormat="false" ht="15" hidden="false" customHeight="false" outlineLevel="0" collapsed="false">
      <c r="A12" s="5"/>
      <c r="B12" s="7" t="s">
        <v>146</v>
      </c>
      <c r="C12" s="41" t="n">
        <f aca="false">C11*Royalty_Rate</f>
        <v>11497.5</v>
      </c>
      <c r="D12" s="41" t="n">
        <f aca="false">D11*Royalty_Rate</f>
        <v>12216.09375</v>
      </c>
      <c r="E12" s="41" t="n">
        <f aca="false">E11*Royalty_Rate</f>
        <v>12952.65234375</v>
      </c>
      <c r="F12" s="41" t="n">
        <f aca="false">F11*Royalty_Rate</f>
        <v>13707.6249023437</v>
      </c>
      <c r="G12" s="41" t="n">
        <f aca="false">G11*Royalty_Rate</f>
        <v>14481.4717749023</v>
      </c>
      <c r="H12" s="41" t="n">
        <f aca="false">H11*Royalty_Rate</f>
        <v>15274.6648192749</v>
      </c>
      <c r="I12" s="41" t="n">
        <f aca="false">I11*Royalty_Rate</f>
        <v>16087.6876897568</v>
      </c>
      <c r="J12" s="41" t="n">
        <f aca="false">J11*Royalty_Rate</f>
        <v>16921.0361320007</v>
      </c>
      <c r="K12" s="41" t="n">
        <f aca="false">K11*Royalty_Rate</f>
        <v>17775.2182853007</v>
      </c>
      <c r="L12" s="41" t="n">
        <f aca="false">L11*Royalty_Rate</f>
        <v>18650.7549924332</v>
      </c>
    </row>
    <row r="13" customFormat="false" ht="15" hidden="false" customHeight="false" outlineLevel="0" collapsed="false">
      <c r="A13" s="5"/>
      <c r="B13" s="5"/>
      <c r="C13" s="5"/>
      <c r="D13" s="5"/>
      <c r="E13" s="5"/>
      <c r="F13" s="5"/>
      <c r="G13" s="5"/>
      <c r="H13" s="5"/>
      <c r="I13" s="5"/>
      <c r="J13" s="5"/>
      <c r="K13" s="5"/>
      <c r="L13" s="5"/>
    </row>
    <row r="14" customFormat="false" ht="15" hidden="false" customHeight="false" outlineLevel="0" collapsed="false">
      <c r="A14" s="5"/>
      <c r="B14" s="7" t="s">
        <v>147</v>
      </c>
      <c r="C14" s="41" t="n">
        <f aca="false">Surplus_Contrib*(1+GDP_Growth)^(COLUMN()-3)</f>
        <v>2000</v>
      </c>
      <c r="D14" s="41" t="n">
        <f aca="false">Surplus_Contrib*(1+GDP_Growth)^(COLUMN()-3)</f>
        <v>2080</v>
      </c>
      <c r="E14" s="41" t="n">
        <f aca="false">Surplus_Contrib*(1+GDP_Growth)^(COLUMN()-3)</f>
        <v>2163.2</v>
      </c>
      <c r="F14" s="41" t="n">
        <f aca="false">Surplus_Contrib*(1+GDP_Growth)^(COLUMN()-3)</f>
        <v>2249.728</v>
      </c>
      <c r="G14" s="41" t="n">
        <f aca="false">Surplus_Contrib*(1+GDP_Growth)^(COLUMN()-3)</f>
        <v>2339.71712</v>
      </c>
      <c r="H14" s="41" t="n">
        <f aca="false">Surplus_Contrib*(1+GDP_Growth)^(COLUMN()-3)</f>
        <v>2433.3058048</v>
      </c>
      <c r="I14" s="41" t="n">
        <f aca="false">Surplus_Contrib*(1+GDP_Growth)^(COLUMN()-3)</f>
        <v>2530.638036992</v>
      </c>
      <c r="J14" s="41" t="n">
        <f aca="false">Surplus_Contrib*(1+GDP_Growth)^(COLUMN()-3)</f>
        <v>2631.86355847168</v>
      </c>
      <c r="K14" s="41" t="n">
        <f aca="false">Surplus_Contrib*(1+GDP_Growth)^(COLUMN()-3)</f>
        <v>2737.13810081055</v>
      </c>
      <c r="L14" s="41" t="n">
        <f aca="false">Surplus_Contrib*(1+GDP_Growth)^(COLUMN()-3)</f>
        <v>2846.62362484297</v>
      </c>
    </row>
    <row r="15" customFormat="false" ht="15" hidden="false" customHeight="false" outlineLevel="0" collapsed="false">
      <c r="A15" s="5"/>
      <c r="B15" s="5"/>
      <c r="C15" s="5"/>
      <c r="D15" s="5"/>
      <c r="E15" s="5"/>
      <c r="F15" s="5"/>
      <c r="G15" s="5"/>
      <c r="H15" s="5"/>
      <c r="I15" s="5"/>
      <c r="J15" s="5"/>
      <c r="K15" s="5"/>
      <c r="L15" s="5"/>
    </row>
    <row r="16" customFormat="false" ht="15" hidden="false" customHeight="false" outlineLevel="0" collapsed="false">
      <c r="A16" s="5"/>
      <c r="B16" s="34" t="s">
        <v>148</v>
      </c>
      <c r="C16" s="42" t="n">
        <f aca="false">C12+C14</f>
        <v>13497.5</v>
      </c>
      <c r="D16" s="42" t="n">
        <f aca="false">D12+D14</f>
        <v>14296.09375</v>
      </c>
      <c r="E16" s="42" t="n">
        <f aca="false">E12+E14</f>
        <v>15115.85234375</v>
      </c>
      <c r="F16" s="42" t="n">
        <f aca="false">F12+F14</f>
        <v>15957.3529023437</v>
      </c>
      <c r="G16" s="42" t="n">
        <f aca="false">G12+G14</f>
        <v>16821.1888949023</v>
      </c>
      <c r="H16" s="42" t="n">
        <f aca="false">H12+H14</f>
        <v>17707.9706240749</v>
      </c>
      <c r="I16" s="42" t="n">
        <f aca="false">I12+I14</f>
        <v>18618.3257267488</v>
      </c>
      <c r="J16" s="42" t="n">
        <f aca="false">J12+J14</f>
        <v>19552.8996904724</v>
      </c>
      <c r="K16" s="42" t="n">
        <f aca="false">K12+K14</f>
        <v>20512.3563861112</v>
      </c>
      <c r="L16" s="42" t="n">
        <f aca="false">L12+L14</f>
        <v>21497.3786172762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L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6"/>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8" t="s">
        <v>149</v>
      </c>
      <c r="C2" s="5"/>
      <c r="D2" s="5"/>
      <c r="E2" s="5"/>
      <c r="F2" s="5"/>
      <c r="G2" s="5"/>
      <c r="H2" s="5"/>
      <c r="I2" s="5"/>
      <c r="J2" s="5"/>
      <c r="K2" s="5"/>
      <c r="L2" s="5"/>
    </row>
    <row r="3" customFormat="false" ht="15" hidden="false" customHeight="false" outlineLevel="0" collapsed="false">
      <c r="A3" s="5"/>
      <c r="B3" s="29" t="s">
        <v>150</v>
      </c>
      <c r="C3" s="5"/>
      <c r="D3" s="5"/>
      <c r="E3" s="5"/>
      <c r="F3" s="5"/>
      <c r="G3" s="5"/>
      <c r="H3" s="5"/>
      <c r="I3" s="5"/>
      <c r="J3" s="5"/>
      <c r="K3" s="5"/>
      <c r="L3" s="5"/>
    </row>
    <row r="4" customFormat="false" ht="15" hidden="false" customHeight="false" outlineLevel="0" collapsed="false">
      <c r="A4" s="5"/>
      <c r="B4" s="30" t="s">
        <v>140</v>
      </c>
      <c r="C4" s="38" t="n">
        <f aca="false">Model_Start_Year+COLUMN()-3</f>
        <v>2025</v>
      </c>
      <c r="D4" s="38" t="n">
        <f aca="false">Model_Start_Year+COLUMN()-3</f>
        <v>2026</v>
      </c>
      <c r="E4" s="38" t="n">
        <f aca="false">Model_Start_Year+COLUMN()-3</f>
        <v>2027</v>
      </c>
      <c r="F4" s="38" t="n">
        <f aca="false">Model_Start_Year+COLUMN()-3</f>
        <v>2028</v>
      </c>
      <c r="G4" s="38" t="n">
        <f aca="false">Model_Start_Year+COLUMN()-3</f>
        <v>2029</v>
      </c>
      <c r="H4" s="38" t="n">
        <f aca="false">Model_Start_Year+COLUMN()-3</f>
        <v>2030</v>
      </c>
      <c r="I4" s="38" t="n">
        <f aca="false">Model_Start_Year+COLUMN()-3</f>
        <v>2031</v>
      </c>
      <c r="J4" s="38" t="n">
        <f aca="false">Model_Start_Year+COLUMN()-3</f>
        <v>2032</v>
      </c>
      <c r="K4" s="38" t="n">
        <f aca="false">Model_Start_Year+COLUMN()-3</f>
        <v>2033</v>
      </c>
      <c r="L4" s="38" t="n">
        <f aca="false">Model_Start_Year+COLUMN()-3</f>
        <v>2034</v>
      </c>
    </row>
    <row r="5" customFormat="false" ht="15" hidden="false" customHeight="false" outlineLevel="0" collapsed="false">
      <c r="A5" s="5"/>
      <c r="B5" s="5"/>
      <c r="C5" s="5"/>
      <c r="D5" s="5"/>
      <c r="E5" s="5"/>
      <c r="F5" s="5"/>
      <c r="G5" s="5"/>
      <c r="H5" s="5"/>
      <c r="I5" s="5"/>
      <c r="J5" s="5"/>
      <c r="K5" s="5"/>
      <c r="L5" s="5"/>
    </row>
    <row r="6" customFormat="false" ht="15" hidden="false" customHeight="false" outlineLevel="0" collapsed="false">
      <c r="A6" s="5"/>
      <c r="B6" s="6" t="s">
        <v>151</v>
      </c>
      <c r="C6" s="40" t="n">
        <f aca="false">AR_Beg_AUM</f>
        <v>250000</v>
      </c>
      <c r="D6" s="40" t="n">
        <f aca="false">AR_Beg_AUM</f>
        <v>270480</v>
      </c>
      <c r="E6" s="40" t="n">
        <f aca="false">AR_Beg_AUM</f>
        <v>292796.295216667</v>
      </c>
      <c r="F6" s="40" t="n">
        <f aca="false">AR_Beg_AUM</f>
        <v>316822.848032639</v>
      </c>
      <c r="G6" s="40" t="n">
        <f aca="false">AR_Beg_AUM</f>
        <v>342405.972375424</v>
      </c>
      <c r="H6" s="40" t="n">
        <f aca="false">AR_Beg_AUM</f>
        <v>369603.346980429</v>
      </c>
      <c r="I6" s="40" t="n">
        <f aca="false">AR_Beg_AUM</f>
        <v>398479.111930693</v>
      </c>
      <c r="J6" s="40" t="n">
        <f aca="false">AR_Beg_AUM</f>
        <v>429102.041126047</v>
      </c>
      <c r="K6" s="40" t="n">
        <f aca="false">AR_Beg_AUM</f>
        <v>461543.220746865</v>
      </c>
      <c r="L6" s="40" t="n">
        <f aca="false">AR_Beg_AUM</f>
        <v>495876.018769691</v>
      </c>
    </row>
    <row r="7" customFormat="false" ht="15" hidden="false" customHeight="false" outlineLevel="0" collapsed="false">
      <c r="A7" s="5"/>
      <c r="B7" s="5"/>
      <c r="C7" s="5"/>
      <c r="D7" s="5"/>
      <c r="E7" s="5"/>
      <c r="F7" s="5"/>
      <c r="G7" s="5"/>
      <c r="H7" s="5"/>
      <c r="I7" s="5"/>
      <c r="J7" s="5"/>
      <c r="K7" s="5"/>
      <c r="L7" s="5"/>
    </row>
    <row r="8" customFormat="false" ht="15" hidden="false" customHeight="false" outlineLevel="0" collapsed="false">
      <c r="A8" s="5"/>
      <c r="B8" s="37" t="s">
        <v>152</v>
      </c>
      <c r="C8" s="10"/>
      <c r="D8" s="10"/>
      <c r="E8" s="10"/>
      <c r="F8" s="10"/>
      <c r="G8" s="10"/>
      <c r="H8" s="10"/>
      <c r="I8" s="10"/>
      <c r="J8" s="10"/>
      <c r="K8" s="10"/>
      <c r="L8" s="10"/>
    </row>
    <row r="9" customFormat="false" ht="15" hidden="false" customHeight="false" outlineLevel="0" collapsed="false">
      <c r="A9" s="5"/>
      <c r="B9" s="32" t="s">
        <v>68</v>
      </c>
      <c r="C9" s="41" t="n">
        <f aca="false">C6*Wt_Pub_Eq*Ret_Pub_Eq</f>
        <v>7125</v>
      </c>
      <c r="D9" s="41" t="n">
        <f aca="false">D6*Wt_Pub_Eq*Ret_Pub_Eq</f>
        <v>7708.68</v>
      </c>
      <c r="E9" s="41" t="n">
        <f aca="false">E6*Wt_Pub_Eq*Ret_Pub_Eq</f>
        <v>8344.694413675</v>
      </c>
      <c r="F9" s="41" t="n">
        <f aca="false">F6*Wt_Pub_Eq*Ret_Pub_Eq</f>
        <v>9029.45116893021</v>
      </c>
      <c r="G9" s="41" t="n">
        <f aca="false">G6*Wt_Pub_Eq*Ret_Pub_Eq</f>
        <v>9758.57021269958</v>
      </c>
      <c r="H9" s="41" t="n">
        <f aca="false">H6*Wt_Pub_Eq*Ret_Pub_Eq</f>
        <v>10533.6953889422</v>
      </c>
      <c r="I9" s="41" t="n">
        <f aca="false">I6*Wt_Pub_Eq*Ret_Pub_Eq</f>
        <v>11356.6546900248</v>
      </c>
      <c r="J9" s="41" t="n">
        <f aca="false">J6*Wt_Pub_Eq*Ret_Pub_Eq</f>
        <v>12229.4081720924</v>
      </c>
      <c r="K9" s="41" t="n">
        <f aca="false">K6*Wt_Pub_Eq*Ret_Pub_Eq</f>
        <v>13153.9817912857</v>
      </c>
      <c r="L9" s="41" t="n">
        <f aca="false">L6*Wt_Pub_Eq*Ret_Pub_Eq</f>
        <v>14132.4665349362</v>
      </c>
    </row>
    <row r="10" customFormat="false" ht="15" hidden="false" customHeight="false" outlineLevel="0" collapsed="false">
      <c r="A10" s="5"/>
      <c r="B10" s="32" t="s">
        <v>70</v>
      </c>
      <c r="C10" s="41" t="n">
        <f aca="false">C6*Wt_FI*Ret_FI</f>
        <v>2200</v>
      </c>
      <c r="D10" s="41" t="n">
        <f aca="false">D6*Wt_FI*Ret_FI</f>
        <v>2380.224</v>
      </c>
      <c r="E10" s="41" t="n">
        <f aca="false">E6*Wt_FI*Ret_FI</f>
        <v>2576.60739790667</v>
      </c>
      <c r="F10" s="41" t="n">
        <f aca="false">F6*Wt_FI*Ret_FI</f>
        <v>2788.04106268722</v>
      </c>
      <c r="G10" s="41" t="n">
        <f aca="false">G6*Wt_FI*Ret_FI</f>
        <v>3013.17255690373</v>
      </c>
      <c r="H10" s="41" t="n">
        <f aca="false">H6*Wt_FI*Ret_FI</f>
        <v>3252.50945342777</v>
      </c>
      <c r="I10" s="41" t="n">
        <f aca="false">I6*Wt_FI*Ret_FI</f>
        <v>3506.6161849901</v>
      </c>
      <c r="J10" s="41" t="n">
        <f aca="false">J6*Wt_FI*Ret_FI</f>
        <v>3776.09796190922</v>
      </c>
      <c r="K10" s="41" t="n">
        <f aca="false">K6*Wt_FI*Ret_FI</f>
        <v>4061.58034257241</v>
      </c>
      <c r="L10" s="41" t="n">
        <f aca="false">L6*Wt_FI*Ret_FI</f>
        <v>4363.70896517328</v>
      </c>
    </row>
    <row r="11" customFormat="false" ht="15" hidden="false" customHeight="false" outlineLevel="0" collapsed="false">
      <c r="A11" s="5"/>
      <c r="B11" s="32" t="s">
        <v>72</v>
      </c>
      <c r="C11" s="41" t="n">
        <f aca="false">C6*Wt_PE*Ret_PE</f>
        <v>4500</v>
      </c>
      <c r="D11" s="41" t="n">
        <f aca="false">D6*Wt_PE*Ret_PE</f>
        <v>4868.64</v>
      </c>
      <c r="E11" s="41" t="n">
        <f aca="false">E6*Wt_PE*Ret_PE</f>
        <v>5270.3333139</v>
      </c>
      <c r="F11" s="41" t="n">
        <f aca="false">F6*Wt_PE*Ret_PE</f>
        <v>5702.8112645875</v>
      </c>
      <c r="G11" s="41" t="n">
        <f aca="false">G6*Wt_PE*Ret_PE</f>
        <v>6163.30750275763</v>
      </c>
      <c r="H11" s="41" t="n">
        <f aca="false">H6*Wt_PE*Ret_PE</f>
        <v>6652.86024564771</v>
      </c>
      <c r="I11" s="41" t="n">
        <f aca="false">I6*Wt_PE*Ret_PE</f>
        <v>7172.62401475248</v>
      </c>
      <c r="J11" s="41" t="n">
        <f aca="false">J6*Wt_PE*Ret_PE</f>
        <v>7723.83674026885</v>
      </c>
      <c r="K11" s="41" t="n">
        <f aca="false">K6*Wt_PE*Ret_PE</f>
        <v>8307.77797344358</v>
      </c>
      <c r="L11" s="41" t="n">
        <f aca="false">L6*Wt_PE*Ret_PE</f>
        <v>8925.76833785443</v>
      </c>
    </row>
    <row r="12" customFormat="false" ht="15" hidden="false" customHeight="false" outlineLevel="0" collapsed="false">
      <c r="A12" s="5"/>
      <c r="B12" s="32" t="s">
        <v>74</v>
      </c>
      <c r="C12" s="41" t="n">
        <f aca="false">C6*Wt_RE*Ret_RE</f>
        <v>1750</v>
      </c>
      <c r="D12" s="41" t="n">
        <f aca="false">D6*Wt_RE*Ret_RE</f>
        <v>1893.36</v>
      </c>
      <c r="E12" s="41" t="n">
        <f aca="false">E6*Wt_RE*Ret_RE</f>
        <v>2049.57406651667</v>
      </c>
      <c r="F12" s="41" t="n">
        <f aca="false">F6*Wt_RE*Ret_RE</f>
        <v>2217.75993622847</v>
      </c>
      <c r="G12" s="41" t="n">
        <f aca="false">G6*Wt_RE*Ret_RE</f>
        <v>2396.84180662797</v>
      </c>
      <c r="H12" s="41" t="n">
        <f aca="false">H6*Wt_RE*Ret_RE</f>
        <v>2587.223428863</v>
      </c>
      <c r="I12" s="41" t="n">
        <f aca="false">I6*Wt_RE*Ret_RE</f>
        <v>2789.35378351485</v>
      </c>
      <c r="J12" s="41" t="n">
        <f aca="false">J6*Wt_RE*Ret_RE</f>
        <v>3003.71428788233</v>
      </c>
      <c r="K12" s="41" t="n">
        <f aca="false">K6*Wt_RE*Ret_RE</f>
        <v>3230.80254522806</v>
      </c>
      <c r="L12" s="41" t="n">
        <f aca="false">L6*Wt_RE*Ret_RE</f>
        <v>3471.13213138784</v>
      </c>
    </row>
    <row r="13" customFormat="false" ht="15" hidden="false" customHeight="false" outlineLevel="0" collapsed="false">
      <c r="A13" s="5"/>
      <c r="B13" s="32" t="s">
        <v>76</v>
      </c>
      <c r="C13" s="41" t="n">
        <f aca="false">C6*Wt_Infra*Ret_Infra</f>
        <v>2000</v>
      </c>
      <c r="D13" s="41" t="n">
        <f aca="false">D6*Wt_Infra*Ret_Infra</f>
        <v>2163.84</v>
      </c>
      <c r="E13" s="41" t="n">
        <f aca="false">E6*Wt_Infra*Ret_Infra</f>
        <v>2342.37036173333</v>
      </c>
      <c r="F13" s="41" t="n">
        <f aca="false">F6*Wt_Infra*Ret_Infra</f>
        <v>2534.58278426111</v>
      </c>
      <c r="G13" s="41" t="n">
        <f aca="false">G6*Wt_Infra*Ret_Infra</f>
        <v>2739.24777900339</v>
      </c>
      <c r="H13" s="41" t="n">
        <f aca="false">H6*Wt_Infra*Ret_Infra</f>
        <v>2956.82677584343</v>
      </c>
      <c r="I13" s="41" t="n">
        <f aca="false">I6*Wt_Infra*Ret_Infra</f>
        <v>3187.83289544555</v>
      </c>
      <c r="J13" s="41" t="n">
        <f aca="false">J6*Wt_Infra*Ret_Infra</f>
        <v>3432.81632900838</v>
      </c>
      <c r="K13" s="41" t="n">
        <f aca="false">K6*Wt_Infra*Ret_Infra</f>
        <v>3692.34576597492</v>
      </c>
      <c r="L13" s="41" t="n">
        <f aca="false">L6*Wt_Infra*Ret_Infra</f>
        <v>3967.00815015753</v>
      </c>
    </row>
    <row r="14" customFormat="false" ht="15" hidden="false" customHeight="false" outlineLevel="0" collapsed="false">
      <c r="A14" s="5"/>
      <c r="B14" s="32" t="s">
        <v>78</v>
      </c>
      <c r="C14" s="41" t="n">
        <f aca="false">C6*Wt_Cash*Ret_Cash</f>
        <v>375</v>
      </c>
      <c r="D14" s="41" t="n">
        <f aca="false">D6*Wt_Cash*Ret_Cash</f>
        <v>405.72</v>
      </c>
      <c r="E14" s="41" t="n">
        <f aca="false">E6*Wt_Cash*Ret_Cash</f>
        <v>439.194442825</v>
      </c>
      <c r="F14" s="41" t="n">
        <f aca="false">F6*Wt_Cash*Ret_Cash</f>
        <v>475.234272048959</v>
      </c>
      <c r="G14" s="41" t="n">
        <f aca="false">G6*Wt_Cash*Ret_Cash</f>
        <v>513.608958563136</v>
      </c>
      <c r="H14" s="41" t="n">
        <f aca="false">H6*Wt_Cash*Ret_Cash</f>
        <v>554.405020470643</v>
      </c>
      <c r="I14" s="41" t="n">
        <f aca="false">I6*Wt_Cash*Ret_Cash</f>
        <v>597.71866789604</v>
      </c>
      <c r="J14" s="41" t="n">
        <f aca="false">J6*Wt_Cash*Ret_Cash</f>
        <v>643.653061689071</v>
      </c>
      <c r="K14" s="41" t="n">
        <f aca="false">K6*Wt_Cash*Ret_Cash</f>
        <v>692.314831120298</v>
      </c>
      <c r="L14" s="41" t="n">
        <f aca="false">L6*Wt_Cash*Ret_Cash</f>
        <v>743.814028154536</v>
      </c>
    </row>
    <row r="15" customFormat="false" ht="15" hidden="false" customHeight="false" outlineLevel="0" collapsed="false">
      <c r="A15" s="5"/>
      <c r="B15" s="5"/>
      <c r="C15" s="5"/>
      <c r="D15" s="5"/>
      <c r="E15" s="5"/>
      <c r="F15" s="5"/>
      <c r="G15" s="5"/>
      <c r="H15" s="5"/>
      <c r="I15" s="5"/>
      <c r="J15" s="5"/>
      <c r="K15" s="5"/>
      <c r="L15" s="5"/>
    </row>
    <row r="16" customFormat="false" ht="15" hidden="false" customHeight="false" outlineLevel="0" collapsed="false">
      <c r="A16" s="5"/>
      <c r="B16" s="34" t="s">
        <v>153</v>
      </c>
      <c r="C16" s="42" t="n">
        <f aca="false">SUM(C9:C14)</f>
        <v>17950</v>
      </c>
      <c r="D16" s="42" t="n">
        <f aca="false">SUM(D9:D14)</f>
        <v>19420.464</v>
      </c>
      <c r="E16" s="42" t="n">
        <f aca="false">SUM(E9:E14)</f>
        <v>21022.7739965567</v>
      </c>
      <c r="F16" s="42" t="n">
        <f aca="false">SUM(F9:F14)</f>
        <v>22747.8804887435</v>
      </c>
      <c r="G16" s="42" t="n">
        <f aca="false">SUM(G9:G14)</f>
        <v>24584.7488165554</v>
      </c>
      <c r="H16" s="42" t="n">
        <f aca="false">SUM(H9:H14)</f>
        <v>26537.5203131948</v>
      </c>
      <c r="I16" s="42" t="n">
        <f aca="false">SUM(I9:I14)</f>
        <v>28610.8002366238</v>
      </c>
      <c r="J16" s="42" t="n">
        <f aca="false">SUM(J9:J14)</f>
        <v>30809.5265528502</v>
      </c>
      <c r="K16" s="42" t="n">
        <f aca="false">SUM(K9:K14)</f>
        <v>33138.8032496249</v>
      </c>
      <c r="L16" s="42" t="n">
        <f aca="false">SUM(L9:L14)</f>
        <v>35603.8981476638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L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6"/>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8" t="s">
        <v>154</v>
      </c>
      <c r="C2" s="5"/>
      <c r="D2" s="5"/>
      <c r="E2" s="5"/>
      <c r="F2" s="5"/>
      <c r="G2" s="5"/>
      <c r="H2" s="5"/>
      <c r="I2" s="5"/>
      <c r="J2" s="5"/>
      <c r="K2" s="5"/>
      <c r="L2" s="5"/>
    </row>
    <row r="3" customFormat="false" ht="15" hidden="false" customHeight="false" outlineLevel="0" collapsed="false">
      <c r="A3" s="5"/>
      <c r="B3" s="29" t="s">
        <v>155</v>
      </c>
      <c r="C3" s="5"/>
      <c r="D3" s="5"/>
      <c r="E3" s="5"/>
      <c r="F3" s="5"/>
      <c r="G3" s="5"/>
      <c r="H3" s="5"/>
      <c r="I3" s="5"/>
      <c r="J3" s="5"/>
      <c r="K3" s="5"/>
      <c r="L3" s="5"/>
    </row>
    <row r="4" customFormat="false" ht="15" hidden="false" customHeight="false" outlineLevel="0" collapsed="false">
      <c r="A4" s="5"/>
      <c r="B4" s="30" t="s">
        <v>140</v>
      </c>
      <c r="C4" s="38" t="n">
        <f aca="false">Model_Start_Year+COLUMN()-3</f>
        <v>2025</v>
      </c>
      <c r="D4" s="38" t="n">
        <f aca="false">Model_Start_Year+COLUMN()-3</f>
        <v>2026</v>
      </c>
      <c r="E4" s="38" t="n">
        <f aca="false">Model_Start_Year+COLUMN()-3</f>
        <v>2027</v>
      </c>
      <c r="F4" s="38" t="n">
        <f aca="false">Model_Start_Year+COLUMN()-3</f>
        <v>2028</v>
      </c>
      <c r="G4" s="38" t="n">
        <f aca="false">Model_Start_Year+COLUMN()-3</f>
        <v>2029</v>
      </c>
      <c r="H4" s="38" t="n">
        <f aca="false">Model_Start_Year+COLUMN()-3</f>
        <v>2030</v>
      </c>
      <c r="I4" s="38" t="n">
        <f aca="false">Model_Start_Year+COLUMN()-3</f>
        <v>2031</v>
      </c>
      <c r="J4" s="38" t="n">
        <f aca="false">Model_Start_Year+COLUMN()-3</f>
        <v>2032</v>
      </c>
      <c r="K4" s="38" t="n">
        <f aca="false">Model_Start_Year+COLUMN()-3</f>
        <v>2033</v>
      </c>
      <c r="L4" s="38" t="n">
        <f aca="false">Model_Start_Year+COLUMN()-3</f>
        <v>2034</v>
      </c>
    </row>
    <row r="5" customFormat="false" ht="15" hidden="false" customHeight="false" outlineLevel="0" collapsed="false">
      <c r="A5" s="5"/>
      <c r="B5" s="5"/>
      <c r="C5" s="5"/>
      <c r="D5" s="5"/>
      <c r="E5" s="5"/>
      <c r="F5" s="5"/>
      <c r="G5" s="5"/>
      <c r="H5" s="5"/>
      <c r="I5" s="5"/>
      <c r="J5" s="5"/>
      <c r="K5" s="5"/>
      <c r="L5" s="5"/>
    </row>
    <row r="6" customFormat="false" ht="15" hidden="false" customHeight="false" outlineLevel="0" collapsed="false">
      <c r="A6" s="5"/>
      <c r="B6" s="37" t="s">
        <v>156</v>
      </c>
      <c r="C6" s="10"/>
      <c r="D6" s="10"/>
      <c r="E6" s="10"/>
      <c r="F6" s="10"/>
      <c r="G6" s="10"/>
      <c r="H6" s="10"/>
      <c r="I6" s="10"/>
      <c r="J6" s="10"/>
      <c r="K6" s="10"/>
      <c r="L6" s="10"/>
    </row>
    <row r="7" customFormat="false" ht="15" hidden="false" customHeight="false" outlineLevel="0" collapsed="false">
      <c r="A7" s="5"/>
      <c r="B7" s="32" t="s">
        <v>68</v>
      </c>
      <c r="C7" s="39" t="n">
        <f aca="false">AR_Beg_AUM*Wt_Pub_Eq*Fee_Pub_Eq</f>
        <v>95</v>
      </c>
      <c r="D7" s="39" t="n">
        <f aca="false">AR_Beg_AUM*Wt_Pub_Eq*Fee_Pub_Eq</f>
        <v>102.7824</v>
      </c>
      <c r="E7" s="39" t="n">
        <f aca="false">AR_Beg_AUM*Wt_Pub_Eq*Fee_Pub_Eq</f>
        <v>111.262592182333</v>
      </c>
      <c r="F7" s="39" t="n">
        <f aca="false">AR_Beg_AUM*Wt_Pub_Eq*Fee_Pub_Eq</f>
        <v>120.392682252403</v>
      </c>
      <c r="G7" s="39" t="n">
        <f aca="false">AR_Beg_AUM*Wt_Pub_Eq*Fee_Pub_Eq</f>
        <v>130.114269502661</v>
      </c>
      <c r="H7" s="39" t="n">
        <f aca="false">AR_Beg_AUM*Wt_Pub_Eq*Fee_Pub_Eq</f>
        <v>140.449271852563</v>
      </c>
      <c r="I7" s="39" t="n">
        <f aca="false">AR_Beg_AUM*Wt_Pub_Eq*Fee_Pub_Eq</f>
        <v>151.422062533663</v>
      </c>
      <c r="J7" s="39" t="n">
        <f aca="false">AR_Beg_AUM*Wt_Pub_Eq*Fee_Pub_Eq</f>
        <v>163.058775627898</v>
      </c>
      <c r="K7" s="39" t="n">
        <f aca="false">AR_Beg_AUM*Wt_Pub_Eq*Fee_Pub_Eq</f>
        <v>175.386423883809</v>
      </c>
      <c r="L7" s="39" t="n">
        <f aca="false">AR_Beg_AUM*Wt_Pub_Eq*Fee_Pub_Eq</f>
        <v>188.432887132483</v>
      </c>
    </row>
    <row r="8" customFormat="false" ht="15" hidden="false" customHeight="false" outlineLevel="0" collapsed="false">
      <c r="A8" s="5"/>
      <c r="B8" s="32" t="s">
        <v>70</v>
      </c>
      <c r="C8" s="39" t="n">
        <f aca="false">AR_Beg_AUM*Wt_FI*Fee_FI</f>
        <v>82.5</v>
      </c>
      <c r="D8" s="39" t="n">
        <f aca="false">AR_Beg_AUM*Wt_FI*Fee_FI</f>
        <v>89.2584</v>
      </c>
      <c r="E8" s="39" t="n">
        <f aca="false">AR_Beg_AUM*Wt_FI*Fee_FI</f>
        <v>96.6227774215</v>
      </c>
      <c r="F8" s="39" t="n">
        <f aca="false">AR_Beg_AUM*Wt_FI*Fee_FI</f>
        <v>104.551539850771</v>
      </c>
      <c r="G8" s="39" t="n">
        <f aca="false">AR_Beg_AUM*Wt_FI*Fee_FI</f>
        <v>112.99397088389</v>
      </c>
      <c r="H8" s="39" t="n">
        <f aca="false">AR_Beg_AUM*Wt_FI*Fee_FI</f>
        <v>121.969104503541</v>
      </c>
      <c r="I8" s="39" t="n">
        <f aca="false">AR_Beg_AUM*Wt_FI*Fee_FI</f>
        <v>131.498106937129</v>
      </c>
      <c r="J8" s="39" t="n">
        <f aca="false">AR_Beg_AUM*Wt_FI*Fee_FI</f>
        <v>141.603673571596</v>
      </c>
      <c r="K8" s="39" t="n">
        <f aca="false">AR_Beg_AUM*Wt_FI*Fee_FI</f>
        <v>152.309262846466</v>
      </c>
      <c r="L8" s="39" t="n">
        <f aca="false">AR_Beg_AUM*Wt_FI*Fee_FI</f>
        <v>163.639086193998</v>
      </c>
    </row>
    <row r="9" customFormat="false" ht="15" hidden="false" customHeight="false" outlineLevel="0" collapsed="false">
      <c r="A9" s="5"/>
      <c r="B9" s="32" t="s">
        <v>72</v>
      </c>
      <c r="C9" s="39" t="n">
        <f aca="false">AR_Beg_AUM*Wt_PE*Fee_PE</f>
        <v>562.5</v>
      </c>
      <c r="D9" s="39" t="n">
        <f aca="false">AR_Beg_AUM*Wt_PE*Fee_PE</f>
        <v>608.58</v>
      </c>
      <c r="E9" s="39" t="n">
        <f aca="false">AR_Beg_AUM*Wt_PE*Fee_PE</f>
        <v>658.7916642375</v>
      </c>
      <c r="F9" s="39" t="n">
        <f aca="false">AR_Beg_AUM*Wt_PE*Fee_PE</f>
        <v>712.851408073438</v>
      </c>
      <c r="G9" s="39" t="n">
        <f aca="false">AR_Beg_AUM*Wt_PE*Fee_PE</f>
        <v>770.413437844704</v>
      </c>
      <c r="H9" s="39" t="n">
        <f aca="false">AR_Beg_AUM*Wt_PE*Fee_PE</f>
        <v>831.607530705964</v>
      </c>
      <c r="I9" s="39" t="n">
        <f aca="false">AR_Beg_AUM*Wt_PE*Fee_PE</f>
        <v>896.57800184406</v>
      </c>
      <c r="J9" s="39" t="n">
        <f aca="false">AR_Beg_AUM*Wt_PE*Fee_PE</f>
        <v>965.479592533607</v>
      </c>
      <c r="K9" s="39" t="n">
        <f aca="false">AR_Beg_AUM*Wt_PE*Fee_PE</f>
        <v>1038.47224668045</v>
      </c>
      <c r="L9" s="39" t="n">
        <f aca="false">AR_Beg_AUM*Wt_PE*Fee_PE</f>
        <v>1115.7210422318</v>
      </c>
    </row>
    <row r="10" customFormat="false" ht="15" hidden="false" customHeight="false" outlineLevel="0" collapsed="false">
      <c r="A10" s="5"/>
      <c r="B10" s="32" t="s">
        <v>74</v>
      </c>
      <c r="C10" s="39" t="n">
        <f aca="false">AR_Beg_AUM*Wt_RE*Fee_RE</f>
        <v>250</v>
      </c>
      <c r="D10" s="39" t="n">
        <f aca="false">AR_Beg_AUM*Wt_RE*Fee_RE</f>
        <v>270.48</v>
      </c>
      <c r="E10" s="39" t="n">
        <f aca="false">AR_Beg_AUM*Wt_RE*Fee_RE</f>
        <v>292.796295216667</v>
      </c>
      <c r="F10" s="39" t="n">
        <f aca="false">AR_Beg_AUM*Wt_RE*Fee_RE</f>
        <v>316.822848032639</v>
      </c>
      <c r="G10" s="39" t="n">
        <f aca="false">AR_Beg_AUM*Wt_RE*Fee_RE</f>
        <v>342.405972375424</v>
      </c>
      <c r="H10" s="39" t="n">
        <f aca="false">AR_Beg_AUM*Wt_RE*Fee_RE</f>
        <v>369.603346980429</v>
      </c>
      <c r="I10" s="39" t="n">
        <f aca="false">AR_Beg_AUM*Wt_RE*Fee_RE</f>
        <v>398.479111930693</v>
      </c>
      <c r="J10" s="39" t="n">
        <f aca="false">AR_Beg_AUM*Wt_RE*Fee_RE</f>
        <v>429.102041126047</v>
      </c>
      <c r="K10" s="39" t="n">
        <f aca="false">AR_Beg_AUM*Wt_RE*Fee_RE</f>
        <v>461.543220746865</v>
      </c>
      <c r="L10" s="39" t="n">
        <f aca="false">AR_Beg_AUM*Wt_RE*Fee_RE</f>
        <v>495.876018769691</v>
      </c>
    </row>
    <row r="11" customFormat="false" ht="15" hidden="false" customHeight="false" outlineLevel="0" collapsed="false">
      <c r="A11" s="5"/>
      <c r="B11" s="32" t="s">
        <v>76</v>
      </c>
      <c r="C11" s="39" t="n">
        <f aca="false">AR_Beg_AUM*Wt_Infra*Fee_Infra</f>
        <v>300</v>
      </c>
      <c r="D11" s="39" t="n">
        <f aca="false">AR_Beg_AUM*Wt_Infra*Fee_Infra</f>
        <v>324.576</v>
      </c>
      <c r="E11" s="39" t="n">
        <f aca="false">AR_Beg_AUM*Wt_Infra*Fee_Infra</f>
        <v>351.35555426</v>
      </c>
      <c r="F11" s="39" t="n">
        <f aca="false">AR_Beg_AUM*Wt_Infra*Fee_Infra</f>
        <v>380.187417639167</v>
      </c>
      <c r="G11" s="39" t="n">
        <f aca="false">AR_Beg_AUM*Wt_Infra*Fee_Infra</f>
        <v>410.887166850509</v>
      </c>
      <c r="H11" s="39" t="n">
        <f aca="false">AR_Beg_AUM*Wt_Infra*Fee_Infra</f>
        <v>443.524016376514</v>
      </c>
      <c r="I11" s="39" t="n">
        <f aca="false">AR_Beg_AUM*Wt_Infra*Fee_Infra</f>
        <v>478.174934316832</v>
      </c>
      <c r="J11" s="39" t="n">
        <f aca="false">AR_Beg_AUM*Wt_Infra*Fee_Infra</f>
        <v>514.922449351257</v>
      </c>
      <c r="K11" s="39" t="n">
        <f aca="false">AR_Beg_AUM*Wt_Infra*Fee_Infra</f>
        <v>553.851864896238</v>
      </c>
      <c r="L11" s="39" t="n">
        <f aca="false">AR_Beg_AUM*Wt_Infra*Fee_Infra</f>
        <v>595.051222523629</v>
      </c>
    </row>
    <row r="12" customFormat="false" ht="15" hidden="false" customHeight="false" outlineLevel="0" collapsed="false">
      <c r="A12" s="5"/>
      <c r="B12" s="32" t="s">
        <v>78</v>
      </c>
      <c r="C12" s="39" t="n">
        <f aca="false">AR_Beg_AUM*Wt_Cash*Fee_Cash</f>
        <v>2.5</v>
      </c>
      <c r="D12" s="39" t="n">
        <f aca="false">AR_Beg_AUM*Wt_Cash*Fee_Cash</f>
        <v>2.7048</v>
      </c>
      <c r="E12" s="39" t="n">
        <f aca="false">AR_Beg_AUM*Wt_Cash*Fee_Cash</f>
        <v>2.92796295216667</v>
      </c>
      <c r="F12" s="39" t="n">
        <f aca="false">AR_Beg_AUM*Wt_Cash*Fee_Cash</f>
        <v>3.16822848032639</v>
      </c>
      <c r="G12" s="39" t="n">
        <f aca="false">AR_Beg_AUM*Wt_Cash*Fee_Cash</f>
        <v>3.42405972375424</v>
      </c>
      <c r="H12" s="39" t="n">
        <f aca="false">AR_Beg_AUM*Wt_Cash*Fee_Cash</f>
        <v>3.69603346980429</v>
      </c>
      <c r="I12" s="39" t="n">
        <f aca="false">AR_Beg_AUM*Wt_Cash*Fee_Cash</f>
        <v>3.98479111930693</v>
      </c>
      <c r="J12" s="39" t="n">
        <f aca="false">AR_Beg_AUM*Wt_Cash*Fee_Cash</f>
        <v>4.29102041126047</v>
      </c>
      <c r="K12" s="39" t="n">
        <f aca="false">AR_Beg_AUM*Wt_Cash*Fee_Cash</f>
        <v>4.61543220746865</v>
      </c>
      <c r="L12" s="39" t="n">
        <f aca="false">AR_Beg_AUM*Wt_Cash*Fee_Cash</f>
        <v>4.95876018769691</v>
      </c>
    </row>
    <row r="13" customFormat="false" ht="15" hidden="false" customHeight="false" outlineLevel="0" collapsed="false">
      <c r="A13" s="5"/>
      <c r="B13" s="5"/>
      <c r="C13" s="5"/>
      <c r="D13" s="5"/>
      <c r="E13" s="5"/>
      <c r="F13" s="5"/>
      <c r="G13" s="5"/>
      <c r="H13" s="5"/>
      <c r="I13" s="5"/>
      <c r="J13" s="5"/>
      <c r="K13" s="5"/>
      <c r="L13" s="5"/>
    </row>
    <row r="14" customFormat="false" ht="15" hidden="false" customHeight="false" outlineLevel="0" collapsed="false">
      <c r="A14" s="5"/>
      <c r="B14" s="43" t="s">
        <v>157</v>
      </c>
      <c r="C14" s="44" t="n">
        <f aca="false">SUM(C7:C12)</f>
        <v>1292.5</v>
      </c>
      <c r="D14" s="44" t="n">
        <f aca="false">SUM(D7:D12)</f>
        <v>1398.3816</v>
      </c>
      <c r="E14" s="44" t="n">
        <f aca="false">SUM(E7:E12)</f>
        <v>1513.75684627017</v>
      </c>
      <c r="F14" s="44" t="n">
        <f aca="false">SUM(F7:F12)</f>
        <v>1637.97412432874</v>
      </c>
      <c r="G14" s="44" t="n">
        <f aca="false">SUM(G7:G12)</f>
        <v>1770.23887718094</v>
      </c>
      <c r="H14" s="44" t="n">
        <f aca="false">SUM(H7:H12)</f>
        <v>1910.84930388882</v>
      </c>
      <c r="I14" s="44" t="n">
        <f aca="false">SUM(I7:I12)</f>
        <v>2060.13700868168</v>
      </c>
      <c r="J14" s="44" t="n">
        <f aca="false">SUM(J7:J12)</f>
        <v>2218.45755262167</v>
      </c>
      <c r="K14" s="44" t="n">
        <f aca="false">SUM(K7:K12)</f>
        <v>2386.17845126129</v>
      </c>
      <c r="L14" s="44" t="n">
        <f aca="false">SUM(L7:L12)</f>
        <v>2563.6790170393</v>
      </c>
    </row>
    <row r="15" customFormat="false" ht="15" hidden="false" customHeight="false" outlineLevel="0" collapsed="false">
      <c r="A15" s="5"/>
      <c r="B15" s="5"/>
      <c r="C15" s="5"/>
      <c r="D15" s="5"/>
      <c r="E15" s="5"/>
      <c r="F15" s="5"/>
      <c r="G15" s="5"/>
      <c r="H15" s="5"/>
      <c r="I15" s="5"/>
      <c r="J15" s="5"/>
      <c r="K15" s="5"/>
      <c r="L15" s="5"/>
    </row>
    <row r="16" customFormat="false" ht="15" hidden="false" customHeight="false" outlineLevel="0" collapsed="false">
      <c r="A16" s="5"/>
      <c r="B16" s="37" t="s">
        <v>93</v>
      </c>
      <c r="C16" s="10"/>
      <c r="D16" s="10"/>
      <c r="E16" s="10"/>
      <c r="F16" s="10"/>
      <c r="G16" s="10"/>
      <c r="H16" s="10"/>
      <c r="I16" s="10"/>
      <c r="J16" s="10"/>
      <c r="K16" s="10"/>
      <c r="L16" s="10"/>
    </row>
    <row r="17" customFormat="false" ht="15" hidden="false" customHeight="false" outlineLevel="0" collapsed="false">
      <c r="A17" s="5"/>
      <c r="B17" s="32" t="s">
        <v>72</v>
      </c>
      <c r="C17" s="39" t="n">
        <f aca="false">MAX(0,(Ret_PE-Hurdle_Rate))*AR_Beg_AUM*Wt_PE*Carry_Pct</f>
        <v>450</v>
      </c>
      <c r="D17" s="39" t="n">
        <f aca="false">MAX(0,(Ret_PE-Hurdle_Rate))*AR_Beg_AUM*Wt_PE*Carry_Pct</f>
        <v>486.864</v>
      </c>
      <c r="E17" s="39" t="n">
        <f aca="false">MAX(0,(Ret_PE-Hurdle_Rate))*AR_Beg_AUM*Wt_PE*Carry_Pct</f>
        <v>527.03333139</v>
      </c>
      <c r="F17" s="39" t="n">
        <f aca="false">MAX(0,(Ret_PE-Hurdle_Rate))*AR_Beg_AUM*Wt_PE*Carry_Pct</f>
        <v>570.28112645875</v>
      </c>
      <c r="G17" s="39" t="n">
        <f aca="false">MAX(0,(Ret_PE-Hurdle_Rate))*AR_Beg_AUM*Wt_PE*Carry_Pct</f>
        <v>616.330750275763</v>
      </c>
      <c r="H17" s="39" t="n">
        <f aca="false">MAX(0,(Ret_PE-Hurdle_Rate))*AR_Beg_AUM*Wt_PE*Carry_Pct</f>
        <v>665.286024564771</v>
      </c>
      <c r="I17" s="39" t="n">
        <f aca="false">MAX(0,(Ret_PE-Hurdle_Rate))*AR_Beg_AUM*Wt_PE*Carry_Pct</f>
        <v>717.262401475248</v>
      </c>
      <c r="J17" s="39" t="n">
        <f aca="false">MAX(0,(Ret_PE-Hurdle_Rate))*AR_Beg_AUM*Wt_PE*Carry_Pct</f>
        <v>772.383674026885</v>
      </c>
      <c r="K17" s="39" t="n">
        <f aca="false">MAX(0,(Ret_PE-Hurdle_Rate))*AR_Beg_AUM*Wt_PE*Carry_Pct</f>
        <v>830.777797344358</v>
      </c>
      <c r="L17" s="39" t="n">
        <f aca="false">MAX(0,(Ret_PE-Hurdle_Rate))*AR_Beg_AUM*Wt_PE*Carry_Pct</f>
        <v>892.576833785443</v>
      </c>
    </row>
    <row r="18" customFormat="false" ht="15" hidden="false" customHeight="false" outlineLevel="0" collapsed="false">
      <c r="A18" s="5"/>
      <c r="B18" s="32" t="s">
        <v>76</v>
      </c>
      <c r="C18" s="39" t="n">
        <f aca="false">MAX(0,(Ret_Infra-Hurdle_Rate))*AR_Beg_AUM*Wt_Infra*Carry_Pct</f>
        <v>100</v>
      </c>
      <c r="D18" s="39" t="n">
        <f aca="false">MAX(0,(Ret_Infra-Hurdle_Rate))*AR_Beg_AUM*Wt_Infra*Carry_Pct</f>
        <v>108.192</v>
      </c>
      <c r="E18" s="39" t="n">
        <f aca="false">MAX(0,(Ret_Infra-Hurdle_Rate))*AR_Beg_AUM*Wt_Infra*Carry_Pct</f>
        <v>117.118518086667</v>
      </c>
      <c r="F18" s="39" t="n">
        <f aca="false">MAX(0,(Ret_Infra-Hurdle_Rate))*AR_Beg_AUM*Wt_Infra*Carry_Pct</f>
        <v>126.729139213056</v>
      </c>
      <c r="G18" s="39" t="n">
        <f aca="false">MAX(0,(Ret_Infra-Hurdle_Rate))*AR_Beg_AUM*Wt_Infra*Carry_Pct</f>
        <v>136.96238895017</v>
      </c>
      <c r="H18" s="39" t="n">
        <f aca="false">MAX(0,(Ret_Infra-Hurdle_Rate))*AR_Beg_AUM*Wt_Infra*Carry_Pct</f>
        <v>147.841338792171</v>
      </c>
      <c r="I18" s="39" t="n">
        <f aca="false">MAX(0,(Ret_Infra-Hurdle_Rate))*AR_Beg_AUM*Wt_Infra*Carry_Pct</f>
        <v>159.391644772277</v>
      </c>
      <c r="J18" s="39" t="n">
        <f aca="false">MAX(0,(Ret_Infra-Hurdle_Rate))*AR_Beg_AUM*Wt_Infra*Carry_Pct</f>
        <v>171.640816450419</v>
      </c>
      <c r="K18" s="39" t="n">
        <f aca="false">MAX(0,(Ret_Infra-Hurdle_Rate))*AR_Beg_AUM*Wt_Infra*Carry_Pct</f>
        <v>184.617288298746</v>
      </c>
      <c r="L18" s="39" t="n">
        <f aca="false">MAX(0,(Ret_Infra-Hurdle_Rate))*AR_Beg_AUM*Wt_Infra*Carry_Pct</f>
        <v>198.350407507876</v>
      </c>
    </row>
    <row r="19" customFormat="false" ht="15" hidden="false" customHeight="false" outlineLevel="0" collapsed="false">
      <c r="A19" s="5"/>
      <c r="B19" s="5"/>
      <c r="C19" s="5"/>
      <c r="D19" s="5"/>
      <c r="E19" s="5"/>
      <c r="F19" s="5"/>
      <c r="G19" s="5"/>
      <c r="H19" s="5"/>
      <c r="I19" s="5"/>
      <c r="J19" s="5"/>
      <c r="K19" s="5"/>
      <c r="L19" s="5"/>
    </row>
    <row r="20" customFormat="false" ht="15" hidden="false" customHeight="false" outlineLevel="0" collapsed="false">
      <c r="A20" s="5"/>
      <c r="B20" s="43" t="s">
        <v>158</v>
      </c>
      <c r="C20" s="44" t="n">
        <f aca="false">SUM(C17:C18)</f>
        <v>550</v>
      </c>
      <c r="D20" s="44" t="n">
        <f aca="false">SUM(D17:D18)</f>
        <v>595.056</v>
      </c>
      <c r="E20" s="44" t="n">
        <f aca="false">SUM(E17:E18)</f>
        <v>644.151849476667</v>
      </c>
      <c r="F20" s="44" t="n">
        <f aca="false">SUM(F17:F18)</f>
        <v>697.010265671806</v>
      </c>
      <c r="G20" s="44" t="n">
        <f aca="false">SUM(G17:G18)</f>
        <v>753.293139225933</v>
      </c>
      <c r="H20" s="44" t="n">
        <f aca="false">SUM(H17:H18)</f>
        <v>813.127363356943</v>
      </c>
      <c r="I20" s="44" t="n">
        <f aca="false">SUM(I17:I18)</f>
        <v>876.654046247525</v>
      </c>
      <c r="J20" s="44" t="n">
        <f aca="false">SUM(J17:J18)</f>
        <v>944.024490477304</v>
      </c>
      <c r="K20" s="44" t="n">
        <f aca="false">SUM(K17:K18)</f>
        <v>1015.3950856431</v>
      </c>
      <c r="L20" s="44" t="n">
        <f aca="false">SUM(L17:L18)</f>
        <v>1090.92724129332</v>
      </c>
    </row>
    <row r="21" customFormat="false" ht="15" hidden="false" customHeight="false" outlineLevel="0" collapsed="false">
      <c r="A21" s="5"/>
      <c r="B21" s="5"/>
      <c r="C21" s="5"/>
      <c r="D21" s="5"/>
      <c r="E21" s="5"/>
      <c r="F21" s="5"/>
      <c r="G21" s="5"/>
      <c r="H21" s="5"/>
      <c r="I21" s="5"/>
      <c r="J21" s="5"/>
      <c r="K21" s="5"/>
      <c r="L21" s="5"/>
    </row>
    <row r="22" customFormat="false" ht="15" hidden="false" customHeight="false" outlineLevel="0" collapsed="false">
      <c r="A22" s="5"/>
      <c r="B22" s="7" t="s">
        <v>159</v>
      </c>
      <c r="C22" s="39" t="n">
        <f aca="false">AR_Beg_AUM*Internal_Opex_Rate*(1+Opex_Inflation_Rate)^(COLUMN()-3)</f>
        <v>375</v>
      </c>
      <c r="D22" s="39" t="n">
        <f aca="false">AR_Beg_AUM*Internal_Opex_Rate*(1+Opex_Inflation_Rate)^(COLUMN()-3)</f>
        <v>417.8916</v>
      </c>
      <c r="E22" s="39" t="n">
        <f aca="false">AR_Beg_AUM*Internal_Opex_Rate*(1+Opex_Inflation_Rate)^(COLUMN()-3)</f>
        <v>465.941384393043</v>
      </c>
      <c r="F22" s="39" t="n">
        <f aca="false">AR_Beg_AUM*Internal_Opex_Rate*(1+Opex_Inflation_Rate)^(COLUMN()-3)</f>
        <v>519.301320393242</v>
      </c>
      <c r="G22" s="39" t="n">
        <f aca="false">AR_Beg_AUM*Internal_Opex_Rate*(1+Opex_Inflation_Rate)^(COLUMN()-3)</f>
        <v>578.071407757734</v>
      </c>
      <c r="H22" s="39" t="n">
        <f aca="false">AR_Beg_AUM*Internal_Opex_Rate*(1+Opex_Inflation_Rate)^(COLUMN()-3)</f>
        <v>642.707366893377</v>
      </c>
      <c r="I22" s="39" t="n">
        <f aca="false">AR_Beg_AUM*Internal_Opex_Rate*(1+Opex_Inflation_Rate)^(COLUMN()-3)</f>
        <v>713.707348079521</v>
      </c>
      <c r="J22" s="39" t="n">
        <f aca="false">AR_Beg_AUM*Internal_Opex_Rate*(1+Opex_Inflation_Rate)^(COLUMN()-3)</f>
        <v>791.61207897209</v>
      </c>
      <c r="K22" s="39" t="n">
        <f aca="false">AR_Beg_AUM*Internal_Opex_Rate*(1+Opex_Inflation_Rate)^(COLUMN()-3)</f>
        <v>877.003714964114</v>
      </c>
      <c r="L22" s="39" t="n">
        <f aca="false">AR_Beg_AUM*Internal_Opex_Rate*(1+Opex_Inflation_Rate)^(COLUMN()-3)</f>
        <v>970.50859769205</v>
      </c>
    </row>
    <row r="23" customFormat="false" ht="15" hidden="false" customHeight="false" outlineLevel="0" collapsed="false">
      <c r="A23" s="5"/>
      <c r="B23" s="5"/>
      <c r="C23" s="5"/>
      <c r="D23" s="5"/>
      <c r="E23" s="5"/>
      <c r="F23" s="5"/>
      <c r="G23" s="5"/>
      <c r="H23" s="5"/>
      <c r="I23" s="5"/>
      <c r="J23" s="5"/>
      <c r="K23" s="5"/>
      <c r="L23" s="5"/>
    </row>
    <row r="24" customFormat="false" ht="15" hidden="false" customHeight="false" outlineLevel="0" collapsed="false">
      <c r="A24" s="5"/>
      <c r="B24" s="34" t="s">
        <v>160</v>
      </c>
      <c r="C24" s="45" t="n">
        <f aca="false">C14+C20+C22</f>
        <v>2217.5</v>
      </c>
      <c r="D24" s="45" t="n">
        <f aca="false">D14+D20+D22</f>
        <v>2411.3292</v>
      </c>
      <c r="E24" s="45" t="n">
        <f aca="false">E14+E20+E22</f>
        <v>2623.85008013988</v>
      </c>
      <c r="F24" s="45" t="n">
        <f aca="false">F14+F20+F22</f>
        <v>2854.28571039379</v>
      </c>
      <c r="G24" s="45" t="n">
        <f aca="false">G14+G20+G22</f>
        <v>3101.60342416461</v>
      </c>
      <c r="H24" s="45" t="n">
        <f aca="false">H14+H20+H22</f>
        <v>3366.68403413914</v>
      </c>
      <c r="I24" s="45" t="n">
        <f aca="false">I14+I20+I22</f>
        <v>3650.49840300873</v>
      </c>
      <c r="J24" s="45" t="n">
        <f aca="false">J14+J20+J22</f>
        <v>3954.09412207106</v>
      </c>
      <c r="K24" s="45" t="n">
        <f aca="false">K14+K20+K22</f>
        <v>4278.57725186851</v>
      </c>
      <c r="L24" s="45" t="n">
        <f aca="false">L14+L20+L22</f>
        <v>4625.11485602467</v>
      </c>
    </row>
    <row r="25" customFormat="false" ht="15" hidden="false" customHeight="false" outlineLevel="0" collapsed="false">
      <c r="A25" s="5"/>
      <c r="B25" s="5"/>
      <c r="C25" s="5"/>
      <c r="D25" s="5"/>
      <c r="E25" s="5"/>
      <c r="F25" s="5"/>
      <c r="G25" s="5"/>
      <c r="H25" s="5"/>
      <c r="I25" s="5"/>
      <c r="J25" s="5"/>
      <c r="K25" s="5"/>
      <c r="L25" s="5"/>
    </row>
    <row r="26" customFormat="false" ht="15" hidden="false" customHeight="false" outlineLevel="0" collapsed="false">
      <c r="A26" s="5"/>
      <c r="B26" s="7" t="s">
        <v>161</v>
      </c>
      <c r="C26" s="46" t="n">
        <f aca="false">IFERROR(C24/AR_Beg_AUM,0)</f>
        <v>0.00887</v>
      </c>
      <c r="D26" s="46" t="n">
        <f aca="false">IFERROR(D24/AR_Beg_AUM,0)</f>
        <v>0.008915</v>
      </c>
      <c r="E26" s="46" t="n">
        <f aca="false">IFERROR(E24/AR_Beg_AUM,0)</f>
        <v>0.00896135</v>
      </c>
      <c r="F26" s="46" t="n">
        <f aca="false">IFERROR(F24/AR_Beg_AUM,0)</f>
        <v>0.0090090905</v>
      </c>
      <c r="G26" s="46" t="n">
        <f aca="false">IFERROR(G24/AR_Beg_AUM,0)</f>
        <v>0.009058263215</v>
      </c>
      <c r="H26" s="46" t="n">
        <f aca="false">IFERROR(H24/AR_Beg_AUM,0)</f>
        <v>0.00910891111145</v>
      </c>
      <c r="I26" s="46" t="n">
        <f aca="false">IFERROR(I24/AR_Beg_AUM,0)</f>
        <v>0.0091610784447935</v>
      </c>
      <c r="J26" s="46" t="n">
        <f aca="false">IFERROR(J24/AR_Beg_AUM,0)</f>
        <v>0.00921481079813731</v>
      </c>
      <c r="K26" s="46" t="n">
        <f aca="false">IFERROR(K24/AR_Beg_AUM,0)</f>
        <v>0.00927015512208143</v>
      </c>
      <c r="L26" s="46" t="n">
        <f aca="false">IFERROR(L24/AR_Beg_AUM,0)</f>
        <v>0.00932715977574387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L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6"/>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8" t="s">
        <v>162</v>
      </c>
      <c r="C2" s="5"/>
      <c r="D2" s="5"/>
      <c r="E2" s="5"/>
      <c r="F2" s="5"/>
      <c r="G2" s="5"/>
      <c r="H2" s="5"/>
      <c r="I2" s="5"/>
      <c r="J2" s="5"/>
      <c r="K2" s="5"/>
      <c r="L2" s="5"/>
    </row>
    <row r="3" customFormat="false" ht="15" hidden="false" customHeight="false" outlineLevel="0" collapsed="false">
      <c r="A3" s="5"/>
      <c r="B3" s="29" t="s">
        <v>23</v>
      </c>
      <c r="C3" s="5"/>
      <c r="D3" s="5"/>
      <c r="E3" s="5"/>
      <c r="F3" s="5"/>
      <c r="G3" s="5"/>
      <c r="H3" s="5"/>
      <c r="I3" s="5"/>
      <c r="J3" s="5"/>
      <c r="K3" s="5"/>
      <c r="L3" s="5"/>
    </row>
    <row r="4" customFormat="false" ht="15" hidden="false" customHeight="false" outlineLevel="0" collapsed="false">
      <c r="A4" s="5"/>
      <c r="B4" s="30" t="s">
        <v>140</v>
      </c>
      <c r="C4" s="38" t="n">
        <f aca="false">Model_Start_Year+COLUMN()-3</f>
        <v>2025</v>
      </c>
      <c r="D4" s="38" t="n">
        <f aca="false">Model_Start_Year+COLUMN()-3</f>
        <v>2026</v>
      </c>
      <c r="E4" s="38" t="n">
        <f aca="false">Model_Start_Year+COLUMN()-3</f>
        <v>2027</v>
      </c>
      <c r="F4" s="38" t="n">
        <f aca="false">Model_Start_Year+COLUMN()-3</f>
        <v>2028</v>
      </c>
      <c r="G4" s="38" t="n">
        <f aca="false">Model_Start_Year+COLUMN()-3</f>
        <v>2029</v>
      </c>
      <c r="H4" s="38" t="n">
        <f aca="false">Model_Start_Year+COLUMN()-3</f>
        <v>2030</v>
      </c>
      <c r="I4" s="38" t="n">
        <f aca="false">Model_Start_Year+COLUMN()-3</f>
        <v>2031</v>
      </c>
      <c r="J4" s="38" t="n">
        <f aca="false">Model_Start_Year+COLUMN()-3</f>
        <v>2032</v>
      </c>
      <c r="K4" s="38" t="n">
        <f aca="false">Model_Start_Year+COLUMN()-3</f>
        <v>2033</v>
      </c>
      <c r="L4" s="38" t="n">
        <f aca="false">Model_Start_Year+COLUMN()-3</f>
        <v>2034</v>
      </c>
    </row>
    <row r="5" customFormat="false" ht="15" hidden="false" customHeight="false" outlineLevel="0" collapsed="false">
      <c r="A5" s="5"/>
      <c r="B5" s="5"/>
      <c r="C5" s="5"/>
      <c r="D5" s="5"/>
      <c r="E5" s="5"/>
      <c r="F5" s="5"/>
      <c r="G5" s="5"/>
      <c r="H5" s="5"/>
      <c r="I5" s="5"/>
      <c r="J5" s="5"/>
      <c r="K5" s="5"/>
      <c r="L5" s="5"/>
    </row>
    <row r="6" customFormat="false" ht="15" hidden="false" customHeight="false" outlineLevel="0" collapsed="false">
      <c r="A6" s="5"/>
      <c r="B6" s="7" t="s">
        <v>163</v>
      </c>
      <c r="C6" s="41" t="n">
        <f aca="false">AR_Beg_AUM</f>
        <v>250000</v>
      </c>
      <c r="D6" s="41" t="n">
        <f aca="false">AR_Beg_AUM</f>
        <v>270480</v>
      </c>
      <c r="E6" s="41" t="n">
        <f aca="false">AR_Beg_AUM</f>
        <v>292796.295216667</v>
      </c>
      <c r="F6" s="41" t="n">
        <f aca="false">AR_Beg_AUM</f>
        <v>316822.848032639</v>
      </c>
      <c r="G6" s="41" t="n">
        <f aca="false">AR_Beg_AUM</f>
        <v>342405.972375424</v>
      </c>
      <c r="H6" s="41" t="n">
        <f aca="false">AR_Beg_AUM</f>
        <v>369603.346980429</v>
      </c>
      <c r="I6" s="41" t="n">
        <f aca="false">AR_Beg_AUM</f>
        <v>398479.111930693</v>
      </c>
      <c r="J6" s="41" t="n">
        <f aca="false">AR_Beg_AUM</f>
        <v>429102.041126047</v>
      </c>
      <c r="K6" s="41" t="n">
        <f aca="false">AR_Beg_AUM</f>
        <v>461543.220746865</v>
      </c>
      <c r="L6" s="41" t="n">
        <f aca="false">AR_Beg_AUM</f>
        <v>495876.018769691</v>
      </c>
    </row>
    <row r="7" customFormat="false" ht="15" hidden="false" customHeight="false" outlineLevel="0" collapsed="false">
      <c r="A7" s="5"/>
      <c r="B7" s="7" t="s">
        <v>164</v>
      </c>
      <c r="C7" s="41" t="n">
        <f aca="false">Opening_AUM</f>
        <v>250000</v>
      </c>
      <c r="D7" s="41" t="n">
        <f aca="false">C6</f>
        <v>250000</v>
      </c>
      <c r="E7" s="41" t="n">
        <f aca="false">D6</f>
        <v>270480</v>
      </c>
      <c r="F7" s="41" t="n">
        <f aca="false">E6</f>
        <v>292796.295216667</v>
      </c>
      <c r="G7" s="41" t="n">
        <f aca="false">F6</f>
        <v>316822.848032639</v>
      </c>
      <c r="H7" s="41" t="n">
        <f aca="false">G6</f>
        <v>342405.972375424</v>
      </c>
      <c r="I7" s="41" t="n">
        <f aca="false">H6</f>
        <v>369603.346980429</v>
      </c>
      <c r="J7" s="41" t="n">
        <f aca="false">I6</f>
        <v>398479.111930693</v>
      </c>
      <c r="K7" s="41" t="n">
        <f aca="false">J6</f>
        <v>429102.041126047</v>
      </c>
      <c r="L7" s="41" t="n">
        <f aca="false">K6</f>
        <v>461543.220746865</v>
      </c>
    </row>
    <row r="8" customFormat="false" ht="15" hidden="false" customHeight="false" outlineLevel="0" collapsed="false">
      <c r="A8" s="5"/>
      <c r="B8" s="7" t="s">
        <v>165</v>
      </c>
      <c r="C8" s="41" t="n">
        <f aca="false">Opening_AUM</f>
        <v>250000</v>
      </c>
      <c r="D8" s="41" t="n">
        <f aca="false">Opening_AUM</f>
        <v>250000</v>
      </c>
      <c r="E8" s="41" t="n">
        <f aca="false">C6</f>
        <v>250000</v>
      </c>
      <c r="F8" s="41" t="n">
        <f aca="false">D6</f>
        <v>270480</v>
      </c>
      <c r="G8" s="41" t="n">
        <f aca="false">E6</f>
        <v>292796.295216667</v>
      </c>
      <c r="H8" s="41" t="n">
        <f aca="false">F6</f>
        <v>316822.848032639</v>
      </c>
      <c r="I8" s="41" t="n">
        <f aca="false">G6</f>
        <v>342405.972375424</v>
      </c>
      <c r="J8" s="41" t="n">
        <f aca="false">H6</f>
        <v>369603.346980429</v>
      </c>
      <c r="K8" s="41" t="n">
        <f aca="false">I6</f>
        <v>398479.111930693</v>
      </c>
      <c r="L8" s="41" t="n">
        <f aca="false">J6</f>
        <v>429102.041126047</v>
      </c>
    </row>
    <row r="9" customFormat="false" ht="15" hidden="false" customHeight="false" outlineLevel="0" collapsed="false">
      <c r="A9" s="5"/>
      <c r="B9" s="5"/>
      <c r="C9" s="5"/>
      <c r="D9" s="5"/>
      <c r="E9" s="5"/>
      <c r="F9" s="5"/>
      <c r="G9" s="5"/>
      <c r="H9" s="5"/>
      <c r="I9" s="5"/>
      <c r="J9" s="5"/>
      <c r="K9" s="5"/>
      <c r="L9" s="5"/>
    </row>
    <row r="10" customFormat="false" ht="15" hidden="false" customHeight="false" outlineLevel="0" collapsed="false">
      <c r="A10" s="5"/>
      <c r="B10" s="6" t="s">
        <v>166</v>
      </c>
      <c r="C10" s="40" t="n">
        <f aca="false">(C6+C7+C8)/Smoothing_Years</f>
        <v>250000</v>
      </c>
      <c r="D10" s="40" t="n">
        <f aca="false">(D6+D7+D8)/Smoothing_Years</f>
        <v>256826.666666667</v>
      </c>
      <c r="E10" s="40" t="n">
        <f aca="false">(E6+E7+E8)/Smoothing_Years</f>
        <v>271092.098405556</v>
      </c>
      <c r="F10" s="40" t="n">
        <f aca="false">(F6+F7+F8)/Smoothing_Years</f>
        <v>293366.381083102</v>
      </c>
      <c r="G10" s="40" t="n">
        <f aca="false">(G6+G7+G8)/Smoothing_Years</f>
        <v>317341.705208243</v>
      </c>
      <c r="H10" s="40" t="n">
        <f aca="false">(H6+H7+H8)/Smoothing_Years</f>
        <v>342944.055796164</v>
      </c>
      <c r="I10" s="40" t="n">
        <f aca="false">(I6+I7+I8)/Smoothing_Years</f>
        <v>370162.810428849</v>
      </c>
      <c r="J10" s="40" t="n">
        <f aca="false">(J6+J7+J8)/Smoothing_Years</f>
        <v>399061.50001239</v>
      </c>
      <c r="K10" s="40" t="n">
        <f aca="false">(K6+K7+K8)/Smoothing_Years</f>
        <v>429708.124601202</v>
      </c>
      <c r="L10" s="40" t="n">
        <f aca="false">(L6+L7+L8)/Smoothing_Years</f>
        <v>462173.760214201</v>
      </c>
    </row>
    <row r="11" customFormat="false" ht="15" hidden="false" customHeight="false" outlineLevel="0" collapsed="false">
      <c r="A11" s="5"/>
      <c r="B11" s="5"/>
      <c r="C11" s="5"/>
      <c r="D11" s="5"/>
      <c r="E11" s="5"/>
      <c r="F11" s="5"/>
      <c r="G11" s="5"/>
      <c r="H11" s="5"/>
      <c r="I11" s="5"/>
      <c r="J11" s="5"/>
      <c r="K11" s="5"/>
      <c r="L11" s="5"/>
    </row>
    <row r="12" customFormat="false" ht="15" hidden="false" customHeight="false" outlineLevel="0" collapsed="false">
      <c r="A12" s="5"/>
      <c r="B12" s="7" t="s">
        <v>167</v>
      </c>
      <c r="C12" s="41" t="n">
        <f aca="false">C10*Spending_Rate</f>
        <v>8750</v>
      </c>
      <c r="D12" s="41" t="n">
        <f aca="false">D10*Spending_Rate</f>
        <v>8988.93333333333</v>
      </c>
      <c r="E12" s="41" t="n">
        <f aca="false">E10*Spending_Rate</f>
        <v>9488.22344419444</v>
      </c>
      <c r="F12" s="41" t="n">
        <f aca="false">F10*Spending_Rate</f>
        <v>10267.8233379086</v>
      </c>
      <c r="G12" s="41" t="n">
        <f aca="false">G10*Spending_Rate</f>
        <v>11106.9596822885</v>
      </c>
      <c r="H12" s="41" t="n">
        <f aca="false">H10*Spending_Rate</f>
        <v>12003.0419528657</v>
      </c>
      <c r="I12" s="41" t="n">
        <f aca="false">I10*Spending_Rate</f>
        <v>12955.6983650097</v>
      </c>
      <c r="J12" s="41" t="n">
        <f aca="false">J10*Spending_Rate</f>
        <v>13967.1525004336</v>
      </c>
      <c r="K12" s="41" t="n">
        <f aca="false">K10*Spending_Rate</f>
        <v>15039.7843610421</v>
      </c>
      <c r="L12" s="41" t="n">
        <f aca="false">L10*Spending_Rate</f>
        <v>16176.081607497</v>
      </c>
    </row>
    <row r="13" customFormat="false" ht="15" hidden="false" customHeight="false" outlineLevel="0" collapsed="false">
      <c r="A13" s="5"/>
      <c r="B13" s="5"/>
      <c r="C13" s="5"/>
      <c r="D13" s="5"/>
      <c r="E13" s="5"/>
      <c r="F13" s="5"/>
      <c r="G13" s="5"/>
      <c r="H13" s="5"/>
      <c r="I13" s="5"/>
      <c r="J13" s="5"/>
      <c r="K13" s="5"/>
      <c r="L13" s="5"/>
    </row>
    <row r="14" customFormat="false" ht="15" hidden="false" customHeight="false" outlineLevel="0" collapsed="false">
      <c r="A14" s="5"/>
      <c r="B14" s="34" t="s">
        <v>168</v>
      </c>
      <c r="C14" s="42" t="n">
        <f aca="false">C12</f>
        <v>8750</v>
      </c>
      <c r="D14" s="42" t="n">
        <f aca="false">D12</f>
        <v>8988.93333333333</v>
      </c>
      <c r="E14" s="42" t="n">
        <f aca="false">E12</f>
        <v>9488.22344419444</v>
      </c>
      <c r="F14" s="42" t="n">
        <f aca="false">F12</f>
        <v>10267.8233379086</v>
      </c>
      <c r="G14" s="42" t="n">
        <f aca="false">G12</f>
        <v>11106.9596822885</v>
      </c>
      <c r="H14" s="42" t="n">
        <f aca="false">H12</f>
        <v>12003.0419528657</v>
      </c>
      <c r="I14" s="42" t="n">
        <f aca="false">I12</f>
        <v>12955.6983650097</v>
      </c>
      <c r="J14" s="42" t="n">
        <f aca="false">J12</f>
        <v>13967.1525004336</v>
      </c>
      <c r="K14" s="42" t="n">
        <f aca="false">K12</f>
        <v>15039.7843610421</v>
      </c>
      <c r="L14" s="42" t="n">
        <f aca="false">L12</f>
        <v>16176.081607497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L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12" min="3" style="0" width="16"/>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8" t="s">
        <v>169</v>
      </c>
      <c r="C2" s="5"/>
      <c r="D2" s="5"/>
      <c r="E2" s="5"/>
      <c r="F2" s="5"/>
      <c r="G2" s="5"/>
      <c r="H2" s="5"/>
      <c r="I2" s="5"/>
      <c r="J2" s="5"/>
      <c r="K2" s="5"/>
      <c r="L2" s="5"/>
    </row>
    <row r="3" customFormat="false" ht="15" hidden="false" customHeight="false" outlineLevel="0" collapsed="false">
      <c r="A3" s="5"/>
      <c r="B3" s="29" t="s">
        <v>25</v>
      </c>
      <c r="C3" s="5"/>
      <c r="D3" s="5"/>
      <c r="E3" s="5"/>
      <c r="F3" s="5"/>
      <c r="G3" s="5"/>
      <c r="H3" s="5"/>
      <c r="I3" s="5"/>
      <c r="J3" s="5"/>
      <c r="K3" s="5"/>
      <c r="L3" s="5"/>
    </row>
    <row r="4" customFormat="false" ht="15" hidden="false" customHeight="false" outlineLevel="0" collapsed="false">
      <c r="A4" s="5"/>
      <c r="B4" s="30" t="s">
        <v>140</v>
      </c>
      <c r="C4" s="38" t="n">
        <f aca="false">Model_Start_Year+COLUMN()-3</f>
        <v>2025</v>
      </c>
      <c r="D4" s="38" t="n">
        <f aca="false">Model_Start_Year+COLUMN()-3</f>
        <v>2026</v>
      </c>
      <c r="E4" s="38" t="n">
        <f aca="false">Model_Start_Year+COLUMN()-3</f>
        <v>2027</v>
      </c>
      <c r="F4" s="38" t="n">
        <f aca="false">Model_Start_Year+COLUMN()-3</f>
        <v>2028</v>
      </c>
      <c r="G4" s="38" t="n">
        <f aca="false">Model_Start_Year+COLUMN()-3</f>
        <v>2029</v>
      </c>
      <c r="H4" s="38" t="n">
        <f aca="false">Model_Start_Year+COLUMN()-3</f>
        <v>2030</v>
      </c>
      <c r="I4" s="38" t="n">
        <f aca="false">Model_Start_Year+COLUMN()-3</f>
        <v>2031</v>
      </c>
      <c r="J4" s="38" t="n">
        <f aca="false">Model_Start_Year+COLUMN()-3</f>
        <v>2032</v>
      </c>
      <c r="K4" s="38" t="n">
        <f aca="false">Model_Start_Year+COLUMN()-3</f>
        <v>2033</v>
      </c>
      <c r="L4" s="38" t="n">
        <f aca="false">Model_Start_Year+COLUMN()-3</f>
        <v>2034</v>
      </c>
    </row>
    <row r="5" customFormat="false" ht="15" hidden="false" customHeight="false" outlineLevel="0" collapsed="false">
      <c r="A5" s="5"/>
      <c r="B5" s="5"/>
      <c r="C5" s="5"/>
      <c r="D5" s="5"/>
      <c r="E5" s="5"/>
      <c r="F5" s="5"/>
      <c r="G5" s="5"/>
      <c r="H5" s="5"/>
      <c r="I5" s="5"/>
      <c r="J5" s="5"/>
      <c r="K5" s="5"/>
      <c r="L5" s="5"/>
    </row>
    <row r="6" customFormat="false" ht="15" hidden="false" customHeight="false" outlineLevel="0" collapsed="false">
      <c r="A6" s="5"/>
      <c r="B6" s="6" t="s">
        <v>151</v>
      </c>
      <c r="C6" s="40" t="n">
        <f aca="false">Opening_AUM</f>
        <v>250000</v>
      </c>
      <c r="D6" s="40" t="n">
        <f aca="false">C16</f>
        <v>270480</v>
      </c>
      <c r="E6" s="40" t="n">
        <f aca="false">D16</f>
        <v>292796.295216667</v>
      </c>
      <c r="F6" s="40" t="n">
        <f aca="false">E16</f>
        <v>316822.848032639</v>
      </c>
      <c r="G6" s="40" t="n">
        <f aca="false">F16</f>
        <v>342405.972375424</v>
      </c>
      <c r="H6" s="40" t="n">
        <f aca="false">G16</f>
        <v>369603.346980429</v>
      </c>
      <c r="I6" s="40" t="n">
        <f aca="false">H16</f>
        <v>398479.111930693</v>
      </c>
      <c r="J6" s="40" t="n">
        <f aca="false">I16</f>
        <v>429102.041126047</v>
      </c>
      <c r="K6" s="40" t="n">
        <f aca="false">J16</f>
        <v>461543.220746865</v>
      </c>
      <c r="L6" s="40" t="n">
        <f aca="false">K16</f>
        <v>495876.018769691</v>
      </c>
    </row>
    <row r="7" customFormat="false" ht="15" hidden="false" customHeight="false" outlineLevel="0" collapsed="false">
      <c r="A7" s="5"/>
      <c r="B7" s="37" t="s">
        <v>170</v>
      </c>
      <c r="C7" s="10"/>
      <c r="D7" s="10"/>
      <c r="E7" s="10"/>
      <c r="F7" s="10"/>
      <c r="G7" s="10"/>
      <c r="H7" s="10"/>
      <c r="I7" s="10"/>
      <c r="J7" s="10"/>
      <c r="K7" s="10"/>
      <c r="L7" s="10"/>
    </row>
    <row r="8" customFormat="false" ht="15" hidden="false" customHeight="false" outlineLevel="0" collapsed="false">
      <c r="A8" s="5"/>
      <c r="B8" s="32" t="s">
        <v>171</v>
      </c>
      <c r="C8" s="41" t="n">
        <f aca="false">CT_Total_Contrib</f>
        <v>13497.5</v>
      </c>
      <c r="D8" s="41" t="n">
        <f aca="false">CT_Total_Contrib</f>
        <v>14296.09375</v>
      </c>
      <c r="E8" s="41" t="n">
        <f aca="false">CT_Total_Contrib</f>
        <v>15115.85234375</v>
      </c>
      <c r="F8" s="41" t="n">
        <f aca="false">CT_Total_Contrib</f>
        <v>15957.3529023437</v>
      </c>
      <c r="G8" s="41" t="n">
        <f aca="false">CT_Total_Contrib</f>
        <v>16821.1888949023</v>
      </c>
      <c r="H8" s="41" t="n">
        <f aca="false">CT_Total_Contrib</f>
        <v>17707.9706240749</v>
      </c>
      <c r="I8" s="41" t="n">
        <f aca="false">CT_Total_Contrib</f>
        <v>18618.3257267488</v>
      </c>
      <c r="J8" s="41" t="n">
        <f aca="false">CT_Total_Contrib</f>
        <v>19552.8996904724</v>
      </c>
      <c r="K8" s="41" t="n">
        <f aca="false">CT_Total_Contrib</f>
        <v>20512.3563861112</v>
      </c>
      <c r="L8" s="41" t="n">
        <f aca="false">CT_Total_Contrib</f>
        <v>21497.3786172762</v>
      </c>
    </row>
    <row r="9" customFormat="false" ht="15" hidden="false" customHeight="false" outlineLevel="0" collapsed="false">
      <c r="A9" s="5"/>
      <c r="B9" s="32" t="s">
        <v>172</v>
      </c>
      <c r="C9" s="41" t="n">
        <f aca="false">IR_Total_Gross</f>
        <v>17950</v>
      </c>
      <c r="D9" s="41" t="n">
        <f aca="false">IR_Total_Gross</f>
        <v>19420.464</v>
      </c>
      <c r="E9" s="41" t="n">
        <f aca="false">IR_Total_Gross</f>
        <v>21022.7739965567</v>
      </c>
      <c r="F9" s="41" t="n">
        <f aca="false">IR_Total_Gross</f>
        <v>22747.8804887435</v>
      </c>
      <c r="G9" s="41" t="n">
        <f aca="false">IR_Total_Gross</f>
        <v>24584.7488165554</v>
      </c>
      <c r="H9" s="41" t="n">
        <f aca="false">IR_Total_Gross</f>
        <v>26537.5203131948</v>
      </c>
      <c r="I9" s="41" t="n">
        <f aca="false">IR_Total_Gross</f>
        <v>28610.8002366238</v>
      </c>
      <c r="J9" s="41" t="n">
        <f aca="false">IR_Total_Gross</f>
        <v>30809.5265528502</v>
      </c>
      <c r="K9" s="41" t="n">
        <f aca="false">IR_Total_Gross</f>
        <v>33138.8032496249</v>
      </c>
      <c r="L9" s="41" t="n">
        <f aca="false">IR_Total_Gross</f>
        <v>35603.8981476638</v>
      </c>
    </row>
    <row r="10" customFormat="false" ht="15" hidden="false" customHeight="false" outlineLevel="0" collapsed="false">
      <c r="A10" s="5"/>
      <c r="B10" s="32" t="s">
        <v>173</v>
      </c>
      <c r="C10" s="41" t="n">
        <f aca="false">-FS_Total_Fees</f>
        <v>-2217.5</v>
      </c>
      <c r="D10" s="41" t="n">
        <f aca="false">-FS_Total_Fees</f>
        <v>-2411.3292</v>
      </c>
      <c r="E10" s="41" t="n">
        <f aca="false">-FS_Total_Fees</f>
        <v>-2623.85008013988</v>
      </c>
      <c r="F10" s="41" t="n">
        <f aca="false">-FS_Total_Fees</f>
        <v>-2854.28571039379</v>
      </c>
      <c r="G10" s="41" t="n">
        <f aca="false">-FS_Total_Fees</f>
        <v>-3101.60342416461</v>
      </c>
      <c r="H10" s="41" t="n">
        <f aca="false">-FS_Total_Fees</f>
        <v>-3366.68403413914</v>
      </c>
      <c r="I10" s="41" t="n">
        <f aca="false">-FS_Total_Fees</f>
        <v>-3650.49840300873</v>
      </c>
      <c r="J10" s="41" t="n">
        <f aca="false">-FS_Total_Fees</f>
        <v>-3954.09412207106</v>
      </c>
      <c r="K10" s="41" t="n">
        <f aca="false">-FS_Total_Fees</f>
        <v>-4278.57725186851</v>
      </c>
      <c r="L10" s="41" t="n">
        <f aca="false">-FS_Total_Fees</f>
        <v>-4625.11485602467</v>
      </c>
    </row>
    <row r="11" customFormat="false" ht="15" hidden="false" customHeight="false" outlineLevel="0" collapsed="false">
      <c r="A11" s="5"/>
      <c r="B11" s="47" t="s">
        <v>174</v>
      </c>
      <c r="C11" s="48" t="n">
        <f aca="false">C9+C10</f>
        <v>15732.5</v>
      </c>
      <c r="D11" s="48" t="n">
        <f aca="false">D9+D10</f>
        <v>17009.1348</v>
      </c>
      <c r="E11" s="48" t="n">
        <f aca="false">E9+E10</f>
        <v>18398.9239164168</v>
      </c>
      <c r="F11" s="48" t="n">
        <f aca="false">F9+F10</f>
        <v>19893.5947783497</v>
      </c>
      <c r="G11" s="48" t="n">
        <f aca="false">G9+G10</f>
        <v>21483.1453923908</v>
      </c>
      <c r="H11" s="48" t="n">
        <f aca="false">H9+H10</f>
        <v>23170.8362790556</v>
      </c>
      <c r="I11" s="48" t="n">
        <f aca="false">I9+I10</f>
        <v>24960.3018336151</v>
      </c>
      <c r="J11" s="48" t="n">
        <f aca="false">J9+J10</f>
        <v>26855.4324307791</v>
      </c>
      <c r="K11" s="48" t="n">
        <f aca="false">K9+K10</f>
        <v>28860.2259977564</v>
      </c>
      <c r="L11" s="48" t="n">
        <f aca="false">L9+L10</f>
        <v>30978.7832916391</v>
      </c>
    </row>
    <row r="12" customFormat="false" ht="15" hidden="false" customHeight="false" outlineLevel="0" collapsed="false">
      <c r="A12" s="5"/>
      <c r="B12" s="32" t="s">
        <v>175</v>
      </c>
      <c r="C12" s="41" t="n">
        <f aca="false">-FT_Total_Transfer</f>
        <v>-8750</v>
      </c>
      <c r="D12" s="41" t="n">
        <f aca="false">-FT_Total_Transfer</f>
        <v>-8988.93333333333</v>
      </c>
      <c r="E12" s="41" t="n">
        <f aca="false">-FT_Total_Transfer</f>
        <v>-9488.22344419444</v>
      </c>
      <c r="F12" s="41" t="n">
        <f aca="false">-FT_Total_Transfer</f>
        <v>-10267.8233379086</v>
      </c>
      <c r="G12" s="41" t="n">
        <f aca="false">-FT_Total_Transfer</f>
        <v>-11106.9596822885</v>
      </c>
      <c r="H12" s="41" t="n">
        <f aca="false">-FT_Total_Transfer</f>
        <v>-12003.0419528657</v>
      </c>
      <c r="I12" s="41" t="n">
        <f aca="false">-FT_Total_Transfer</f>
        <v>-12955.6983650097</v>
      </c>
      <c r="J12" s="41" t="n">
        <f aca="false">-FT_Total_Transfer</f>
        <v>-13967.1525004336</v>
      </c>
      <c r="K12" s="41" t="n">
        <f aca="false">-FT_Total_Transfer</f>
        <v>-15039.7843610421</v>
      </c>
      <c r="L12" s="41" t="n">
        <f aca="false">-FT_Total_Transfer</f>
        <v>-16176.081607497</v>
      </c>
    </row>
    <row r="13" customFormat="false" ht="15" hidden="false" customHeight="false" outlineLevel="0" collapsed="false">
      <c r="A13" s="5"/>
      <c r="B13" s="5"/>
      <c r="C13" s="5"/>
      <c r="D13" s="5"/>
      <c r="E13" s="5"/>
      <c r="F13" s="5"/>
      <c r="G13" s="5"/>
      <c r="H13" s="5"/>
      <c r="I13" s="5"/>
      <c r="J13" s="5"/>
      <c r="K13" s="5"/>
      <c r="L13" s="5"/>
    </row>
    <row r="14" customFormat="false" ht="15" hidden="false" customHeight="false" outlineLevel="0" collapsed="false">
      <c r="A14" s="5"/>
      <c r="B14" s="43" t="s">
        <v>176</v>
      </c>
      <c r="C14" s="48" t="n">
        <f aca="false">C8+C11+C12</f>
        <v>20480</v>
      </c>
      <c r="D14" s="48" t="n">
        <f aca="false">D8+D11+D12</f>
        <v>22316.2952166667</v>
      </c>
      <c r="E14" s="48" t="n">
        <f aca="false">E8+E11+E12</f>
        <v>24026.5528159723</v>
      </c>
      <c r="F14" s="48" t="n">
        <f aca="false">F8+F11+F12</f>
        <v>25583.1243427849</v>
      </c>
      <c r="G14" s="48" t="n">
        <f aca="false">G8+G11+G12</f>
        <v>27197.3746050046</v>
      </c>
      <c r="H14" s="48" t="n">
        <f aca="false">H8+H11+H12</f>
        <v>28875.7649502648</v>
      </c>
      <c r="I14" s="48" t="n">
        <f aca="false">I8+I11+I12</f>
        <v>30622.9291953541</v>
      </c>
      <c r="J14" s="48" t="n">
        <f aca="false">J8+J11+J12</f>
        <v>32441.1796208179</v>
      </c>
      <c r="K14" s="48" t="n">
        <f aca="false">K8+K11+K12</f>
        <v>34332.7980228256</v>
      </c>
      <c r="L14" s="48" t="n">
        <f aca="false">L8+L11+L12</f>
        <v>36300.0803014183</v>
      </c>
    </row>
    <row r="15" customFormat="false" ht="15" hidden="false" customHeight="false" outlineLevel="0" collapsed="false">
      <c r="A15" s="5"/>
      <c r="B15" s="5"/>
      <c r="C15" s="5"/>
      <c r="D15" s="5"/>
      <c r="E15" s="5"/>
      <c r="F15" s="5"/>
      <c r="G15" s="5"/>
      <c r="H15" s="5"/>
      <c r="I15" s="5"/>
      <c r="J15" s="5"/>
      <c r="K15" s="5"/>
      <c r="L15" s="5"/>
    </row>
    <row r="16" customFormat="false" ht="15" hidden="false" customHeight="false" outlineLevel="0" collapsed="false">
      <c r="A16" s="5"/>
      <c r="B16" s="34" t="s">
        <v>177</v>
      </c>
      <c r="C16" s="42" t="n">
        <f aca="false">C6+C14</f>
        <v>270480</v>
      </c>
      <c r="D16" s="42" t="n">
        <f aca="false">D6+D14</f>
        <v>292796.295216667</v>
      </c>
      <c r="E16" s="42" t="n">
        <f aca="false">E6+E14</f>
        <v>316822.848032639</v>
      </c>
      <c r="F16" s="42" t="n">
        <f aca="false">F6+F14</f>
        <v>342405.972375424</v>
      </c>
      <c r="G16" s="42" t="n">
        <f aca="false">G6+G14</f>
        <v>369603.346980429</v>
      </c>
      <c r="H16" s="42" t="n">
        <f aca="false">H6+H14</f>
        <v>398479.111930693</v>
      </c>
      <c r="I16" s="42" t="n">
        <f aca="false">I6+I14</f>
        <v>429102.041126047</v>
      </c>
      <c r="J16" s="42" t="n">
        <f aca="false">J6+J14</f>
        <v>461543.220746865</v>
      </c>
      <c r="K16" s="42" t="n">
        <f aca="false">K6+K14</f>
        <v>495876.018769691</v>
      </c>
      <c r="L16" s="42" t="n">
        <f aca="false">L6+L14</f>
        <v>532176.099071109</v>
      </c>
    </row>
    <row r="17" customFormat="false" ht="15" hidden="false" customHeight="false" outlineLevel="0" collapsed="false">
      <c r="A17" s="5"/>
      <c r="B17" s="5"/>
      <c r="C17" s="5"/>
      <c r="D17" s="5"/>
      <c r="E17" s="5"/>
      <c r="F17" s="5"/>
      <c r="G17" s="5"/>
      <c r="H17" s="5"/>
      <c r="I17" s="5"/>
      <c r="J17" s="5"/>
      <c r="K17" s="5"/>
      <c r="L17" s="5"/>
    </row>
    <row r="18" customFormat="false" ht="15" hidden="false" customHeight="false" outlineLevel="0" collapsed="false">
      <c r="A18" s="5"/>
      <c r="B18" s="7" t="s">
        <v>178</v>
      </c>
      <c r="C18" s="39" t="n">
        <f aca="false">ROUND(C6+C8+C9+C10+C12-C16,2)</f>
        <v>0</v>
      </c>
      <c r="D18" s="39" t="n">
        <f aca="false">ROUND(D6+D8+D9+D10+D12-D16,2)</f>
        <v>0</v>
      </c>
      <c r="E18" s="39" t="n">
        <f aca="false">ROUND(E6+E8+E9+E10+E12-E16,2)</f>
        <v>0</v>
      </c>
      <c r="F18" s="39" t="n">
        <f aca="false">ROUND(F6+F8+F9+F10+F12-F16,2)</f>
        <v>0</v>
      </c>
      <c r="G18" s="39" t="n">
        <f aca="false">ROUND(G6+G8+G9+G10+G12-G16,2)</f>
        <v>0</v>
      </c>
      <c r="H18" s="39" t="n">
        <f aca="false">ROUND(H6+H8+H9+H10+H12-H16,2)</f>
        <v>0</v>
      </c>
      <c r="I18" s="39" t="n">
        <f aca="false">ROUND(I6+I8+I9+I10+I12-I16,2)</f>
        <v>0</v>
      </c>
      <c r="J18" s="39" t="n">
        <f aca="false">ROUND(J6+J8+J9+J10+J12-J16,2)</f>
        <v>0</v>
      </c>
      <c r="K18" s="39" t="n">
        <f aca="false">ROUND(K6+K8+K9+K10+K12-K16,2)</f>
        <v>0</v>
      </c>
      <c r="L18" s="39" t="n">
        <f aca="false">ROUND(L6+L8+L9+L10+L12-L16,2)</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2026-05-15T18:53:51Z</dcterms:created>
  <dc:creator>openpyxl</dc:creator>
  <dc:description/>
  <dc:language>en-GB</dc:language>
  <cp:lastModifiedBy/>
  <dcterms:modified xsi:type="dcterms:W3CDTF">2026-05-15T18:53:51Z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