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TVL_Reserves" sheetId="4" state="visible" r:id="rId6"/>
    <sheet name="Revenue_Build" sheetId="5" state="visible" r:id="rId7"/>
    <sheet name="Operating_Costs" sheetId="6" state="visible" r:id="rId8"/>
    <sheet name="Tokenomics" sheetId="7" state="visible" r:id="rId9"/>
    <sheet name="Income_Statement" sheetId="8" state="visible" r:id="rId10"/>
    <sheet name="Balance_Sheet" sheetId="9" state="visible" r:id="rId11"/>
    <sheet name="Cash_Flow" sheetId="10" state="visible" r:id="rId12"/>
    <sheet name="Token_Valuation" sheetId="11" state="visible" r:id="rId13"/>
    <sheet name="Checks" sheetId="12" state="visible" r:id="rId14"/>
  </sheets>
  <definedNames>
    <definedName function="false" hidden="false" name="Accrued_Liab_Pct" vbProcedure="false">Assumptions!$C$57</definedName>
    <definedName function="false" hidden="false" name="Audit_Base" vbProcedure="false">Assumptions!$C$32</definedName>
    <definedName function="false" hidden="false" name="Audit_Growth" vbProcedure="false">Assumptions!$C$33</definedName>
    <definedName function="false" hidden="false" name="BS_Accrued" vbProcedure="false">Balance_Sheet!$C$15</definedName>
    <definedName function="false" hidden="false" name="BS_Cash" vbProcedure="false">Balance_Sheet!$C$8</definedName>
    <definedName function="false" hidden="false" name="BS_Contrib_Cap" vbProcedure="false">Balance_Sheet!$C$19</definedName>
    <definedName function="false" hidden="false" name="BS_Int_Rec" vbProcedure="false">Balance_Sheet!$C$10</definedName>
    <definedName function="false" hidden="false" name="BS_RE" vbProcedure="false">Balance_Sheet!$C$20</definedName>
    <definedName function="false" hidden="false" name="BS_Reserves" vbProcedure="false">Balance_Sheet!$C$9</definedName>
    <definedName function="false" hidden="false" name="BS_Stable_Issue" vbProcedure="false">Balance_Sheet!$C$14</definedName>
    <definedName function="false" hidden="false" name="BS_Total_Assets" vbProcedure="false">Balance_Sheet!$C$12</definedName>
    <definedName function="false" hidden="false" name="BS_Total_Equity" vbProcedure="false">Balance_Sheet!$C$22</definedName>
    <definedName function="false" hidden="false" name="BS_Total_LE" vbProcedure="false">Balance_Sheet!$C$24</definedName>
    <definedName function="false" hidden="false" name="BS_Total_Liab" vbProcedure="false">Balance_Sheet!$C$17</definedName>
    <definedName function="false" hidden="false" name="CF_CFF" vbProcedure="false">Cash_Flow!$C$22</definedName>
    <definedName function="false" hidden="false" name="CF_CFI" vbProcedure="false">Cash_Flow!$C$17</definedName>
    <definedName function="false" hidden="false" name="CF_CFO" vbProcedure="false">Cash_Flow!$C$13</definedName>
    <definedName function="false" hidden="false" name="CF_Closing" vbProcedure="false">Cash_Flow!$C$26</definedName>
    <definedName function="false" hidden="false" name="CF_Reserve_Build" vbProcedure="false">Cash_Flow!$C$15</definedName>
    <definedName function="false" hidden="false" name="CF_Stable_Proceeds" vbProcedure="false">Cash_Flow!$C$19</definedName>
    <definedName function="false" hidden="false" name="Collat_Ratio" vbProcedure="false">Assumptions!$C$15</definedName>
    <definedName function="false" hidden="false" name="Community_Emit_Annual" vbProcedure="false">Assumptions!$C$45</definedName>
    <definedName function="false" hidden="false" name="Dev_Team_Base" vbProcedure="false">Assumptions!$C$30</definedName>
    <definedName function="false" hidden="false" name="Dev_Team_Growth" vbProcedure="false">Assumptions!$C$31</definedName>
    <definedName function="false" hidden="false" name="DPO" vbProcedure="false">Assumptions!$C$56</definedName>
    <definedName function="false" hidden="false" name="DSO" vbProcedure="false">Assumptions!$C$55</definedName>
    <definedName function="false" hidden="false" name="Equity_Injection" vbProcedure="false">Assumptions!$C$49</definedName>
    <definedName function="false" hidden="false" name="Exit_Multiple" vbProcedure="false">Assumptions!$C$61</definedName>
    <definedName function="false" hidden="false" name="GA_Base" vbProcedure="false">Assumptions!$C$37</definedName>
    <definedName function="false" hidden="false" name="GA_Growth" vbProcedure="false">Assumptions!$C$38</definedName>
    <definedName function="false" hidden="false" name="Int_Income_Rate" vbProcedure="false">Assumptions!$C$54</definedName>
    <definedName function="false" hidden="false" name="IS_EBIT" vbProcedure="false">Income_Statement!$C$24</definedName>
    <definedName function="false" hidden="false" name="IS_EBITDA" vbProcedure="false">Income_Statement!$C$20</definedName>
    <definedName function="false" hidden="false" name="IS_EBT" vbProcedure="false">Income_Statement!$C$27</definedName>
    <definedName function="false" hidden="false" name="IS_GP" vbProcedure="false">Income_Statement!$C$10</definedName>
    <definedName function="false" hidden="false" name="IS_Int_Income" vbProcedure="false">Income_Statement!$C$26</definedName>
    <definedName function="false" hidden="false" name="IS_Net_Income" vbProcedure="false">Income_Statement!$C$37</definedName>
    <definedName function="false" hidden="false" name="IS_Oracle_Gas" vbProcedure="false">Income_Statement!$C$9</definedName>
    <definedName function="false" hidden="false" name="IS_Rev" vbProcedure="false">Income_Statement!$C$8</definedName>
    <definedName function="false" hidden="false" name="IS_Tax" vbProcedure="false">Income_Statement!$C$33</definedName>
    <definedName function="false" hidden="false" name="IS_Token_Emit" vbProcedure="false">Income_Statement!$C$23</definedName>
    <definedName function="false" hidden="false" name="IS_Total_OpEx" vbProcedure="false">Income_Statement!$C$18</definedName>
    <definedName function="false" hidden="false" name="Legal_Base" vbProcedure="false">Assumptions!$C$34</definedName>
    <definedName function="false" hidden="false" name="Legal_Growth" vbProcedure="false">Assumptions!$C$35</definedName>
    <definedName function="false" hidden="false" name="Liquidation_Penalty" vbProcedure="false">Assumptions!$C$26</definedName>
    <definedName function="false" hidden="false" name="Liquidation_Rate" vbProcedure="false">Assumptions!$C$25</definedName>
    <definedName function="false" hidden="false" name="Marketing_Pct" vbProcedure="false">Assumptions!$C$36</definedName>
    <definedName function="false" hidden="false" name="Mint_Fee_Rate" vbProcedure="false">Assumptions!$C$23</definedName>
    <definedName function="false" hidden="false" name="Model_Start_Year" vbProcedure="false">Assumptions!$C$7</definedName>
    <definedName function="false" hidden="false" name="NOL_Opening" vbProcedure="false">Assumptions!$C$52</definedName>
    <definedName function="false" hidden="false" name="OC_Audit" vbProcedure="false">Operating_Costs!$C$11</definedName>
    <definedName function="false" hidden="false" name="OC_Dev" vbProcedure="false">Operating_Costs!$C$9</definedName>
    <definedName function="false" hidden="false" name="OC_GA" vbProcedure="false">Operating_Costs!$C$16</definedName>
    <definedName function="false" hidden="false" name="OC_Legal" vbProcedure="false">Operating_Costs!$C$13</definedName>
    <definedName function="false" hidden="false" name="OC_Marketing" vbProcedure="false">Operating_Costs!$C$14</definedName>
    <definedName function="false" hidden="false" name="OC_Total" vbProcedure="false">Operating_Costs!$C$18</definedName>
    <definedName function="false" hidden="false" name="Open_Cash" vbProcedure="false">Assumptions!$C$50</definedName>
    <definedName function="false" hidden="false" name="Open_RE" vbProcedure="false">Assumptions!$C$51</definedName>
    <definedName function="false" hidden="false" name="Oracle_Gas_Pct" vbProcedure="false">Assumptions!$C$29</definedName>
    <definedName function="false" hidden="false" name="Protocol_Penalty_Take" vbProcedure="false">Assumptions!$C$27</definedName>
    <definedName function="false" hidden="false" name="Redeem_Fee_Rate" vbProcedure="false">Assumptions!$C$24</definedName>
    <definedName function="false" hidden="false" name="Reserve_Yield_Y1" vbProcedure="false">Assumptions!$C$18</definedName>
    <definedName function="false" hidden="false" name="Reserve_Yield_Y2" vbProcedure="false">Assumptions!$C$19</definedName>
    <definedName function="false" hidden="false" name="Reserve_Yield_Y3" vbProcedure="false">Assumptions!$C$20</definedName>
    <definedName function="false" hidden="false" name="Reserve_Yield_Y4" vbProcedure="false">Assumptions!$C$21</definedName>
    <definedName function="false" hidden="false" name="Reserve_Yield_Y5" vbProcedure="false">Assumptions!$C$22</definedName>
    <definedName function="false" hidden="false" name="Rev_Interest" vbProcedure="false">Revenue_Build!$C$9</definedName>
    <definedName function="false" hidden="false" name="Rev_Liq" vbProcedure="false">Revenue_Build!$C$14</definedName>
    <definedName function="false" hidden="false" name="Rev_Mint_Fee" vbProcedure="false">Revenue_Build!$C$11</definedName>
    <definedName function="false" hidden="false" name="Rev_Redeem_Fee" vbProcedure="false">Revenue_Build!$C$12</definedName>
    <definedName function="false" hidden="false" name="Rev_Total" vbProcedure="false">Revenue_Build!$C$16</definedName>
    <definedName function="false" hidden="false" name="Supply_Growth_Y1" vbProcedure="false">Assumptions!$C$10</definedName>
    <definedName function="false" hidden="false" name="Supply_Growth_Y2" vbProcedure="false">Assumptions!$C$11</definedName>
    <definedName function="false" hidden="false" name="Supply_Growth_Y3" vbProcedure="false">Assumptions!$C$12</definedName>
    <definedName function="false" hidden="false" name="Supply_Growth_Y4" vbProcedure="false">Assumptions!$C$13</definedName>
    <definedName function="false" hidden="false" name="Supply_Growth_Y5" vbProcedure="false">Assumptions!$C$14</definedName>
    <definedName function="false" hidden="false" name="Tax_Rate" vbProcedure="false">Assumptions!$C$53</definedName>
    <definedName function="false" hidden="false" name="Team_Cliff_Yrs" vbProcedure="false">Assumptions!$C$47</definedName>
    <definedName function="false" hidden="false" name="Team_Unlock_Pct" vbProcedure="false">Assumptions!$C$43</definedName>
    <definedName function="false" hidden="false" name="Terminal_Growth" vbProcedure="false">Assumptions!$C$60</definedName>
    <definedName function="false" hidden="false" name="Token_Price_Growth" vbProcedure="false">Assumptions!$C$42</definedName>
    <definedName function="false" hidden="false" name="Token_Price_Y1" vbProcedure="false">Assumptions!$C$41</definedName>
    <definedName function="false" hidden="false" name="Tok_Close_Circ" vbProcedure="false">Tokenomics!$C$17</definedName>
    <definedName function="false" hidden="false" name="Tok_Comm_Emit" vbProcedure="false">Tokenomics!$C$12</definedName>
    <definedName function="false" hidden="false" name="Tok_Emit_Cost" vbProcedure="false">Tokenomics!$C$22</definedName>
    <definedName function="false" hidden="false" name="Tok_Mktcap" vbProcedure="false">Tokenomics!$C$20</definedName>
    <definedName function="false" hidden="false" name="Tok_Price" vbProcedure="false">Tokenomics!$C$19</definedName>
    <definedName function="false" hidden="false" name="Tok_Total" vbProcedure="false">Tokenomics!$C$8</definedName>
    <definedName function="false" hidden="false" name="Total_Token_Supply" vbProcedure="false">Assumptions!$C$40</definedName>
    <definedName function="false" hidden="false" name="Treasury_Alloc_Pct" vbProcedure="false">Assumptions!$C$46</definedName>
    <definedName function="false" hidden="false" name="Turnover_Rate" vbProcedure="false">Assumptions!$C$16</definedName>
    <definedName function="false" hidden="false" name="TVL_Avg_Res" vbProcedure="false">TVL_Reserves!$C$17</definedName>
    <definedName function="false" hidden="false" name="TVL_Avg_Sup" vbProcedure="false">TVL_Reserves!$C$12</definedName>
    <definedName function="false" hidden="false" name="TVL_Base" vbProcedure="false">Assumptions!$C$9</definedName>
    <definedName function="false" hidden="false" name="TVL_Close_Res" vbProcedure="false">TVL_Reserves!$C$16</definedName>
    <definedName function="false" hidden="false" name="TVL_Close_Sup" vbProcedure="false">TVL_Reserves!$C$11</definedName>
    <definedName function="false" hidden="false" name="TVL_Gross_Mint" vbProcedure="false">TVL_Reserves!$C$20</definedName>
    <definedName function="false" hidden="false" name="TVL_Gross_Redeem" vbProcedure="false">TVL_Reserves!$C$21</definedName>
    <definedName function="false" hidden="false" name="TVL_Liq_Vol" vbProcedure="false">TVL_Reserves!$C$23</definedName>
    <definedName function="false" hidden="false" name="TVL_Redeem_Vol" vbProcedure="false">TVL_Reserves!$C$19</definedName>
    <definedName function="false" hidden="false" name="TV_EV" vbProcedure="false">Token_Valuation!$H$22</definedName>
    <definedName function="false" hidden="false" name="TV_PV_Terminal" vbProcedure="false">Token_Valuation!$H$21</definedName>
    <definedName function="false" hidden="false" name="TV_Sum_PV_FCF" vbProcedure="false">Token_Valuation!$H$18</definedName>
    <definedName function="false" hidden="false" name="TV_Terminal_Value" vbProcedure="false">Token_Valuation!$H$20</definedName>
    <definedName function="false" hidden="false" name="WACC" vbProcedure="false">Assumptions!$C$59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<sst xmlns="http://schemas.openxmlformats.org/spreadsheetml/2006/main" count="352" uniqueCount="293">
  <si>
    <t xml:space="preserve">Stablecoin Protocol</t>
  </si>
  <si>
    <t xml:space="preserve">FINAMODEL.com</t>
  </si>
  <si>
    <t xml:space="preserve">5-Year Financial Model</t>
  </si>
  <si>
    <t xml:space="preserve">Confidential — For Discussion Purposes Only</t>
  </si>
  <si>
    <t xml:space="preserve">Projection Period: Y1–Y5 Annual</t>
  </si>
  <si>
    <t xml:space="preserve">Base TVL: $50m</t>
  </si>
  <si>
    <t xml:space="preserve">Prepared by: [Name]</t>
  </si>
  <si>
    <t xml:space="preserve">About this model</t>
  </si>
  <si>
    <t xml:space="preserve">Model stablecoin reserves and revenue to see true capital efficiency and avoid marketing exaggeration of backing ratios. The model projects TVL (total locked value = stablecoin supply Ã collateralisation ratio), calculates reserve yield (T-bills, liquid staking earning 4-5%), and forecasts revenue from: (a) net interest (reserve portfolio return), (b) mint/redeem fees (0.05% on gross volume, asymmetric: growth minting + churn replacement), (c) liquidation penalties (5-8% haircut on under-collateralised positions), and (d) transaction fees. Operating costs include dev team (6 FTE ~$1.2M/yr), audits, legal, and marketing.
Key mechanics: reserve yield is the spreadâthe protocol earns yield on reserves, stablecoin holders earn zero. Collateralisation ratio (110% typical) means the protocol holds $1.10 of reserves per $1.00 of stablecoinâthe 10% excess is equity buffer funded by the treasury. Token emissions are a non-cash cost (tokens distributed from pre-minted pool valued at an assumed token price). The model separates protocol treasury (operating cash) from reserves (backing stablecoins). Cash flow shows reserve build as a major CFI line (buying T-bills as TVL grows) and stablecoin issuance proceeds as a major CFF line. EBITDA is deeply negative Y1-Y3, turns positive Y4-Y5 as TVL scales (revenue grows faster than fixed costs).
Essential for crypto protocol evaluators, DeFi yield farms, and token investors assessing viability without rely on marketing claims. Shows the real token valuation (protocol DCF, not speculation).</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</si>
  <si>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</si>
  <si>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</si>
  <si>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</si>
  <si>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</si>
  <si>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</si>
  <si>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</si>
  <si>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</si>
  <si>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</si>
  <si>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</si>
  <si>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</si>
  <si>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</si>
  <si>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</si>
  <si>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</si>
  <si>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</si>
  <si>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</si>
  <si>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</si>
  <si>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</si>
  <si>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</si>
  <si>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</si>
  <si>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</si>
  <si>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</si>
  <si>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Assumptions</t>
  </si>
  <si>
    <t xml:space="preserve">All inputs. Blue = editable.</t>
  </si>
  <si>
    <t xml:space="preserve">Label</t>
  </si>
  <si>
    <t xml:space="preserve">Value</t>
  </si>
  <si>
    <t xml:space="preserve">Unit</t>
  </si>
  <si>
    <t xml:space="preserve">Notes</t>
  </si>
  <si>
    <t xml:space="preserve">[Rows 5-6 reserved for scenario toggle]</t>
  </si>
  <si>
    <t xml:space="preserve">General</t>
  </si>
  <si>
    <t xml:space="preserve">Model Start Year</t>
  </si>
  <si>
    <t xml:space="preserve">Year</t>
  </si>
  <si>
    <t xml:space="preserve">TVL &amp; Supply</t>
  </si>
  <si>
    <t xml:space="preserve">Base TVL (Opening Supply Y1)</t>
  </si>
  <si>
    <t xml:space="preserve">USD</t>
  </si>
  <si>
    <t xml:space="preserve">Opening supply Y1</t>
  </si>
  <si>
    <t xml:space="preserve">Supply Growth Y1</t>
  </si>
  <si>
    <t xml:space="preserve">ratio</t>
  </si>
  <si>
    <t xml:space="preserve">Y1: doubles (100% growth)</t>
  </si>
  <si>
    <t xml:space="preserve">Supply Growth Y2</t>
  </si>
  <si>
    <t xml:space="preserve">Supply Growth Y3</t>
  </si>
  <si>
    <t xml:space="preserve">Supply Growth Y4</t>
  </si>
  <si>
    <t xml:space="preserve">Supply Growth Y5</t>
  </si>
  <si>
    <t xml:space="preserve">Collateral Ratio</t>
  </si>
  <si>
    <t xml:space="preserve">110% = $1.10 reserves per $1 supply</t>
  </si>
  <si>
    <t xml:space="preserve">Turnover Rate</t>
  </si>
  <si>
    <t xml:space="preserve">60% annualised supply churn</t>
  </si>
  <si>
    <t xml:space="preserve">Revenue</t>
  </si>
  <si>
    <t xml:space="preserve">Reserve Yield Y1</t>
  </si>
  <si>
    <t xml:space="preserve">4.5% blended T-bill + liquid staking</t>
  </si>
  <si>
    <t xml:space="preserve">Reserve Yield Y2</t>
  </si>
  <si>
    <t xml:space="preserve">Reserve Yield Y3</t>
  </si>
  <si>
    <t xml:space="preserve">Reserve Yield Y4</t>
  </si>
  <si>
    <t xml:space="preserve">Reserve Yield Y5</t>
  </si>
  <si>
    <t xml:space="preserve">Mint Fee Rate</t>
  </si>
  <si>
    <t xml:space="preserve">5 bps</t>
  </si>
  <si>
    <t xml:space="preserve">Redeem Fee Rate</t>
  </si>
  <si>
    <t xml:space="preserve">Liquidation Rate</t>
  </si>
  <si>
    <t xml:space="preserve">0.5% of avg supply/yr</t>
  </si>
  <si>
    <t xml:space="preserve">Liquidation Penalty</t>
  </si>
  <si>
    <t xml:space="preserve">10% gross penalty on liquidated collateral</t>
  </si>
  <si>
    <t xml:space="preserve">Protocol Penalty Take</t>
  </si>
  <si>
    <t xml:space="preserve">Protocol retains 50% of penalty</t>
  </si>
  <si>
    <t xml:space="preserve">Costs</t>
  </si>
  <si>
    <t xml:space="preserve">Oracle &amp; Gas Pct</t>
  </si>
  <si>
    <t xml:space="preserve">4% of revenue; COGS only</t>
  </si>
  <si>
    <t xml:space="preserve">Dev Team Base</t>
  </si>
  <si>
    <t xml:space="preserve">6 FTE x $200k fully loaded</t>
  </si>
  <si>
    <t xml:space="preserve">Dev Team Growth</t>
  </si>
  <si>
    <t xml:space="preserve">15% per year</t>
  </si>
  <si>
    <t xml:space="preserve">Audit Base</t>
  </si>
  <si>
    <t xml:space="preserve">Audit Growth</t>
  </si>
  <si>
    <t xml:space="preserve">Legal Base</t>
  </si>
  <si>
    <t xml:space="preserve">Legal Growth</t>
  </si>
  <si>
    <t xml:space="preserve">Marketing Pct</t>
  </si>
  <si>
    <t xml:space="preserve">5% of total revenue</t>
  </si>
  <si>
    <t xml:space="preserve">G&amp;A Base</t>
  </si>
  <si>
    <t xml:space="preserve">G&amp;A Growth</t>
  </si>
  <si>
    <t xml:space="preserve">Tokenomics</t>
  </si>
  <si>
    <t xml:space="preserve">Total Token Supply</t>
  </si>
  <si>
    <t xml:space="preserve">tokens</t>
  </si>
  <si>
    <t xml:space="preserve">1 billion total</t>
  </si>
  <si>
    <t xml:space="preserve">Token Price Y1</t>
  </si>
  <si>
    <t xml:space="preserve">Token Price Growth</t>
  </si>
  <si>
    <t xml:space="preserve">30%/yr; highly uncertain</t>
  </si>
  <si>
    <t xml:space="preserve">Team Unlock Pct</t>
  </si>
  <si>
    <t xml:space="preserve">20% of supply to team/investors</t>
  </si>
  <si>
    <t xml:space="preserve">Community Emit Pct</t>
  </si>
  <si>
    <t xml:space="preserve">40% emitted to community over 5 yrs</t>
  </si>
  <si>
    <t xml:space="preserve">Community Emit Annual</t>
  </si>
  <si>
    <t xml:space="preserve">Annual community emission rate (8% of total)</t>
  </si>
  <si>
    <t xml:space="preserve">Treasury Alloc Pct</t>
  </si>
  <si>
    <t xml:space="preserve">40% held in protocol treasury</t>
  </si>
  <si>
    <t xml:space="preserve">Team Cliff Yrs</t>
  </si>
  <si>
    <t xml:space="preserve">years</t>
  </si>
  <si>
    <t xml:space="preserve">Team tokens locked Y1; unlock Y2-Y5</t>
  </si>
  <si>
    <t xml:space="preserve">Finance</t>
  </si>
  <si>
    <t xml:space="preserve">Equity Injection</t>
  </si>
  <si>
    <t xml:space="preserve">Y1 only — sized to cover overcollat as TVL scales</t>
  </si>
  <si>
    <t xml:space="preserve">Opening Cash</t>
  </si>
  <si>
    <t xml:space="preserve">Opening treasury cash (pre-injection)</t>
  </si>
  <si>
    <t xml:space="preserve">Opening Retained Earnings</t>
  </si>
  <si>
    <t xml:space="preserve">Opening retained earnings</t>
  </si>
  <si>
    <t xml:space="preserve">NOL Opening</t>
  </si>
  <si>
    <t xml:space="preserve">Tax Rate</t>
  </si>
  <si>
    <t xml:space="preserve">12% effective rate; DeFi-friendly jurisdiction</t>
  </si>
  <si>
    <t xml:space="preserve">Interest Income Rate</t>
  </si>
  <si>
    <t xml:space="preserve">Treasury cash earns 4% interest</t>
  </si>
  <si>
    <t xml:space="preserve">DSO (days)</t>
  </si>
  <si>
    <t xml:space="preserve">days</t>
  </si>
  <si>
    <t xml:space="preserve">Accrued reserve interest</t>
  </si>
  <si>
    <t xml:space="preserve">DPO (days)</t>
  </si>
  <si>
    <t xml:space="preserve">Vendor payment terms</t>
  </si>
  <si>
    <t xml:space="preserve">Accrued Liab Pct</t>
  </si>
  <si>
    <t xml:space="preserve">10% of total opex accrued</t>
  </si>
  <si>
    <t xml:space="preserve">Valuation</t>
  </si>
  <si>
    <t xml:space="preserve">WACC</t>
  </si>
  <si>
    <t xml:space="preserve">23%; within 22-25% range</t>
  </si>
  <si>
    <t xml:space="preserve">Terminal Growth</t>
  </si>
  <si>
    <t xml:space="preserve">4% terminal growth</t>
  </si>
  <si>
    <t xml:space="preserve">Exit Multiple</t>
  </si>
  <si>
    <t xml:space="preserve">x</t>
  </si>
  <si>
    <t xml:space="preserve">EV/EBITDA exit multiple (sanity check)</t>
  </si>
  <si>
    <t xml:space="preserve">TVL &amp; Reserves</t>
  </si>
  <si>
    <t xml:space="preserve">Supply roll-forward, reserve build, mint/redeem volumes</t>
  </si>
  <si>
    <t xml:space="preserve">Supply Roll-Forward</t>
  </si>
  <si>
    <t xml:space="preserve">Opening Supply</t>
  </si>
  <si>
    <t xml:space="preserve">Supply Growth Rate</t>
  </si>
  <si>
    <t xml:space="preserve">Net Mint</t>
  </si>
  <si>
    <t xml:space="preserve">Closing Supply</t>
  </si>
  <si>
    <t xml:space="preserve">Avg Supply</t>
  </si>
  <si>
    <t xml:space="preserve">Reserve Roll-Forward</t>
  </si>
  <si>
    <t xml:space="preserve">Opening Reserves</t>
  </si>
  <si>
    <t xml:space="preserve">Reserve Build</t>
  </si>
  <si>
    <t xml:space="preserve">Closing Reserves</t>
  </si>
  <si>
    <t xml:space="preserve">Avg Reserves</t>
  </si>
  <si>
    <t xml:space="preserve">Mint / Redeem Volumes</t>
  </si>
  <si>
    <t xml:space="preserve">Redeem Volume</t>
  </si>
  <si>
    <t xml:space="preserve">Gross Mint Volume</t>
  </si>
  <si>
    <t xml:space="preserve">Gross Redeem Volume</t>
  </si>
  <si>
    <t xml:space="preserve">Liquidation</t>
  </si>
  <si>
    <t xml:space="preserve">Liquidation Volume</t>
  </si>
  <si>
    <t xml:space="preserve">Revenue Build</t>
  </si>
  <si>
    <t xml:space="preserve">Reserve interest, mint/redeem fees, liquidation revenue</t>
  </si>
  <si>
    <t xml:space="preserve">Revenue Components</t>
  </si>
  <si>
    <t xml:space="preserve">Reserve Yield Rate</t>
  </si>
  <si>
    <t xml:space="preserve">  Reserve Interest Rev</t>
  </si>
  <si>
    <t xml:space="preserve">Transaction Fees</t>
  </si>
  <si>
    <t xml:space="preserve">  Mint Fee Revenue</t>
  </si>
  <si>
    <t xml:space="preserve">  Redeem Fee Revenue</t>
  </si>
  <si>
    <t xml:space="preserve">Liquidation Revenue</t>
  </si>
  <si>
    <t xml:space="preserve">  Liquidation Revenue</t>
  </si>
  <si>
    <t xml:space="preserve">Total</t>
  </si>
  <si>
    <t xml:space="preserve">Total Revenue</t>
  </si>
  <si>
    <t xml:space="preserve">Operating Costs</t>
  </si>
  <si>
    <t xml:space="preserve">Dev, audit, legal, marketing, G&amp;A. Oracle &amp; Gas excluded (IS COGS only).</t>
  </si>
  <si>
    <t xml:space="preserve">Operating Expenses</t>
  </si>
  <si>
    <t xml:space="preserve">  Dev Growth Index</t>
  </si>
  <si>
    <t xml:space="preserve">Dev &amp; Protocol Team</t>
  </si>
  <si>
    <t xml:space="preserve">  Audit Growth Index</t>
  </si>
  <si>
    <t xml:space="preserve">Smart Contract Audits</t>
  </si>
  <si>
    <t xml:space="preserve">  Legal Growth Index</t>
  </si>
  <si>
    <t xml:space="preserve">Legal &amp; Regulatory</t>
  </si>
  <si>
    <t xml:space="preserve">Marketing &amp; Community</t>
  </si>
  <si>
    <t xml:space="preserve">  G&amp;A Growth Index</t>
  </si>
  <si>
    <t xml:space="preserve">G&amp;A</t>
  </si>
  <si>
    <t xml:space="preserve">Total OpEx</t>
  </si>
  <si>
    <t xml:space="preserve">Note: Oracle &amp; Gas excluded — appears as COGS on Income Statement only.</t>
  </si>
  <si>
    <t xml:space="preserve">Token unlock schedule, circulating supply, price, market cap, emission cost</t>
  </si>
  <si>
    <t xml:space="preserve">Token Supply</t>
  </si>
  <si>
    <t xml:space="preserve">Unlock Schedule</t>
  </si>
  <si>
    <t xml:space="preserve">Team Tokens Total</t>
  </si>
  <si>
    <t xml:space="preserve">Team Tokens Unlocked</t>
  </si>
  <si>
    <t xml:space="preserve">Treasury Tokens</t>
  </si>
  <si>
    <t xml:space="preserve">Circulating Supply Roll-Forward</t>
  </si>
  <si>
    <t xml:space="preserve">New Circulating</t>
  </si>
  <si>
    <t xml:space="preserve">Opening Circulating</t>
  </si>
  <si>
    <t xml:space="preserve">Closing Circulating</t>
  </si>
  <si>
    <t xml:space="preserve">Token Price &amp; Market Cap</t>
  </si>
  <si>
    <t xml:space="preserve">Token Price</t>
  </si>
  <si>
    <t xml:space="preserve">Market Cap</t>
  </si>
  <si>
    <t xml:space="preserve">Token Emission Cost</t>
  </si>
  <si>
    <t xml:space="preserve">Income Statement</t>
  </si>
  <si>
    <t xml:space="preserve">5-year P&amp;L waterfall</t>
  </si>
  <si>
    <t xml:space="preserve">Revenue &amp; Gross Profit</t>
  </si>
  <si>
    <t xml:space="preserve">  Oracle &amp; Gas (COGS)</t>
  </si>
  <si>
    <t xml:space="preserve">Gross Profit</t>
  </si>
  <si>
    <t xml:space="preserve">  Gross Margin</t>
  </si>
  <si>
    <t xml:space="preserve">  Dev &amp; Protocol Team</t>
  </si>
  <si>
    <t xml:space="preserve">  Smart Contract Audits</t>
  </si>
  <si>
    <t xml:space="preserve">  Legal &amp; Regulatory</t>
  </si>
  <si>
    <t xml:space="preserve">  Marketing &amp; Community</t>
  </si>
  <si>
    <t xml:space="preserve">  G&amp;A</t>
  </si>
  <si>
    <t xml:space="preserve">EBITDA</t>
  </si>
  <si>
    <t xml:space="preserve">  EBITDA Margin</t>
  </si>
  <si>
    <t xml:space="preserve">Token Emission &amp; EBIT</t>
  </si>
  <si>
    <t xml:space="preserve">  Token Emission Cost</t>
  </si>
  <si>
    <t xml:space="preserve">EBIT</t>
  </si>
  <si>
    <t xml:space="preserve">Interest &amp; EBT</t>
  </si>
  <si>
    <t xml:space="preserve">Interest Income</t>
  </si>
  <si>
    <t xml:space="preserve">EBT</t>
  </si>
  <si>
    <t xml:space="preserve">Tax &amp; NOL</t>
  </si>
  <si>
    <t xml:space="preserve">  NOL Opening</t>
  </si>
  <si>
    <t xml:space="preserve">  Taxable Inc Pre-NOL</t>
  </si>
  <si>
    <t xml:space="preserve">  NOL Utilised</t>
  </si>
  <si>
    <t xml:space="preserve">  Taxable Income</t>
  </si>
  <si>
    <t xml:space="preserve">  Tax</t>
  </si>
  <si>
    <t xml:space="preserve">  NOL Addition</t>
  </si>
  <si>
    <t xml:space="preserve">  NOL Closing</t>
  </si>
  <si>
    <t xml:space="preserve">Net Income</t>
  </si>
  <si>
    <t xml:space="preserve">  Net Margin</t>
  </si>
  <si>
    <t xml:space="preserve">Balance Sheet</t>
  </si>
  <si>
    <t xml:space="preserve">Assets = Liabilities + Equity. Check row must equal zero.</t>
  </si>
  <si>
    <t xml:space="preserve">Assets</t>
  </si>
  <si>
    <t xml:space="preserve">  Treasury Cash</t>
  </si>
  <si>
    <t xml:space="preserve">  Protocol Reserves</t>
  </si>
  <si>
    <t xml:space="preserve">  Accrued Int Rec'ble</t>
  </si>
  <si>
    <t xml:space="preserve">Total Assets</t>
  </si>
  <si>
    <t xml:space="preserve">Liabilities</t>
  </si>
  <si>
    <t xml:space="preserve">  Stablecoin Issuance</t>
  </si>
  <si>
    <t xml:space="preserve">  Accrued Liabilities</t>
  </si>
  <si>
    <t xml:space="preserve">Total Liabilities</t>
  </si>
  <si>
    <t xml:space="preserve">Equity</t>
  </si>
  <si>
    <t xml:space="preserve">  Contributed Capital</t>
  </si>
  <si>
    <t xml:space="preserve">  Retained Earnings</t>
  </si>
  <si>
    <t xml:space="preserve">Total Equity</t>
  </si>
  <si>
    <t xml:space="preserve">Total L&amp;E</t>
  </si>
  <si>
    <t xml:space="preserve">Balance Check</t>
  </si>
  <si>
    <t xml:space="preserve">Cash Flow Statement</t>
  </si>
  <si>
    <t xml:space="preserve">Indirect method. CFO + CFI + CFF = Net Change.</t>
  </si>
  <si>
    <t xml:space="preserve">Operating Activities</t>
  </si>
  <si>
    <t xml:space="preserve">  Net Income</t>
  </si>
  <si>
    <t xml:space="preserve">  Token Emission Add-Back</t>
  </si>
  <si>
    <t xml:space="preserve">  Change in Int Rec'ble</t>
  </si>
  <si>
    <t xml:space="preserve">  Change in Accrued Liab</t>
  </si>
  <si>
    <t xml:space="preserve">Cash from Operations</t>
  </si>
  <si>
    <t xml:space="preserve">Investing Activities</t>
  </si>
  <si>
    <t xml:space="preserve">  Reserve Deployment</t>
  </si>
  <si>
    <t xml:space="preserve">Cash from Investing</t>
  </si>
  <si>
    <t xml:space="preserve">Financing Activities</t>
  </si>
  <si>
    <t xml:space="preserve">  Stablecoin Issuance Proceeds</t>
  </si>
  <si>
    <t xml:space="preserve">  Equity Injection</t>
  </si>
  <si>
    <t xml:space="preserve">Cash from Financing</t>
  </si>
  <si>
    <t xml:space="preserve">Net Change &amp; Closing Cash</t>
  </si>
  <si>
    <t xml:space="preserve">Net Change in Cash</t>
  </si>
  <si>
    <t xml:space="preserve">Closing Cash</t>
  </si>
  <si>
    <t xml:space="preserve">Token Valuation</t>
  </si>
  <si>
    <t xml:space="preserve">Protocol DCF, terminal value, EV, per-token metrics</t>
  </si>
  <si>
    <t xml:space="preserve">Summary</t>
  </si>
  <si>
    <t xml:space="preserve">P&amp;L Summary (from Income Statement)</t>
  </si>
  <si>
    <t xml:space="preserve">CFO</t>
  </si>
  <si>
    <t xml:space="preserve">DCF Analysis</t>
  </si>
  <si>
    <t xml:space="preserve">Unlevered FCF</t>
  </si>
  <si>
    <t xml:space="preserve">Discount Factor</t>
  </si>
  <si>
    <t xml:space="preserve">PV of FCF</t>
  </si>
  <si>
    <t xml:space="preserve">Terminal Value &amp; Enterprise Value</t>
  </si>
  <si>
    <t xml:space="preserve">Sum PV FCFs</t>
  </si>
  <si>
    <t xml:space="preserve">Terminal UFCF</t>
  </si>
  <si>
    <t xml:space="preserve">Terminal Value</t>
  </si>
  <si>
    <t xml:space="preserve">PV Terminal Value</t>
  </si>
  <si>
    <t xml:space="preserve">Enterprise Value</t>
  </si>
  <si>
    <t xml:space="preserve">EV Check (Exit Multiple)</t>
  </si>
  <si>
    <t xml:space="preserve">EV/EBITDA Implied</t>
  </si>
  <si>
    <t xml:space="preserve">Per-Token Metrics</t>
  </si>
  <si>
    <t xml:space="preserve">Protocol EV</t>
  </si>
  <si>
    <t xml:space="preserve">Circulating Supply Y5</t>
  </si>
  <si>
    <t xml:space="preserve">EV per Token (Total)</t>
  </si>
  <si>
    <t xml:space="preserve">EV per Token (Circ.)</t>
  </si>
  <si>
    <t xml:space="preserve">Token Price Y5</t>
  </si>
  <si>
    <t xml:space="preserve">Market Cap Y5</t>
  </si>
  <si>
    <t xml:space="preserve">MC / EV Ratio</t>
  </si>
  <si>
    <t xml:space="preserve">Model Integrity Checks</t>
  </si>
  <si>
    <t xml:space="preserve">All checks must show TRUE. Red = model is broken.</t>
  </si>
  <si>
    <t xml:space="preserve">Integrity Checks</t>
  </si>
  <si>
    <t xml:space="preserve">BS Balance (Assets = L&amp;E)</t>
  </si>
  <si>
    <t xml:space="preserve">Supply-Reserve Identity</t>
  </si>
  <si>
    <t xml:space="preserve">Treasury Cash Positive</t>
  </si>
  <si>
    <t xml:space="preserve">Collat Ratio Floor (&gt;= 1.05)</t>
  </si>
  <si>
    <t xml:space="preserve">CF Reconciliation</t>
  </si>
  <si>
    <t xml:space="preserve">RE Roll-Forward</t>
  </si>
  <si>
    <t xml:space="preserve">Token Supply Ceiling</t>
  </si>
  <si>
    <t xml:space="preserve">NOL Non-Negative</t>
  </si>
  <si>
    <t xml:space="preserve">WACC in Range (20-28%)</t>
  </si>
  <si>
    <t xml:space="preserve">Oracle &amp; Gas — verify excluded from OC_Total (manual check)</t>
  </si>
  <si>
    <t xml:space="preserve">Manual</t>
  </si>
</sst>
</file>

<file path=xl/styles.xml><?xml version="1.0" encoding="utf-8"?>
<styleSheet xmlns="http://schemas.openxmlformats.org/spreadsheetml/2006/main">
  <numFmts count="9">
    <numFmt numFmtId="164" formatCode="General"/>
    <numFmt numFmtId="165" formatCode="#,##0.00"/>
    <numFmt numFmtId="166" formatCode="0.00%"/>
    <numFmt numFmtId="167" formatCode="0.00"/>
    <numFmt numFmtId="168" formatCode="\$#,##0.000"/>
    <numFmt numFmtId="169" formatCode="#,##0.0"/>
    <numFmt numFmtId="170" formatCode="0"/>
    <numFmt numFmtId="171" formatCode="0.0000"/>
    <numFmt numFmtId="172" formatCode="0.00\x"/>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2"/>
      <color theme="0"/>
      <name val="Arial"/>
      <family val="0"/>
      <charset val="1"/>
    </font>
    <font>
      <sz val="11"/>
      <color theme="1"/>
      <name val="Arial"/>
      <family val="0"/>
      <charset val="1"/>
    </font>
    <font>
      <i val="true"/>
      <sz val="10"/>
      <color rgb="FF808080"/>
      <name val="Arial"/>
      <family val="0"/>
      <charset val="1"/>
    </font>
    <font>
      <sz val="1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b val="true"/>
      <sz val="10"/>
      <name val="Arial"/>
      <family val="0"/>
      <charset val="1"/>
    </font>
    <font>
      <sz val="10"/>
      <color rgb="FF2E75B6"/>
      <name val="Arial"/>
      <family val="0"/>
      <charset val="1"/>
    </font>
    <font>
      <sz val="10"/>
      <color rgb="FF000000"/>
      <name val="Arial"/>
      <family val="0"/>
      <charset val="1"/>
    </font>
    <font>
      <sz val="10"/>
      <color rgb="FFC0000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E2EFDA"/>
      </patternFill>
    </fill>
    <fill>
      <patternFill patternType="solid">
        <fgColor rgb="FF1F4E79"/>
        <bgColor rgb="FF1F497D"/>
      </patternFill>
    </fill>
    <fill>
      <patternFill patternType="solid">
        <fgColor rgb="FFF2F2F2"/>
        <bgColor rgb="FFE2EFDA"/>
      </patternFill>
    </fill>
    <fill>
      <patternFill patternType="solid">
        <fgColor rgb="FF2E75B6"/>
        <bgColor rgb="FF0066CC"/>
      </patternFill>
    </fill>
    <fill>
      <patternFill patternType="solid">
        <fgColor rgb="FFFFF2CC"/>
        <bgColor rgb="FFFCE4D6"/>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5" borderId="0" xfId="0" applyFont="true" applyBorder="false" applyAlignment="true" applyProtection="false">
      <alignment horizontal="left" vertical="top" textRotation="0" wrapText="true" indent="1" shrinkToFit="false"/>
      <protection locked="true" hidden="false"/>
    </xf>
    <xf numFmtId="164" fontId="9" fillId="0" borderId="0" xfId="0" applyFont="true" applyBorder="false" applyAlignment="true" applyProtection="false">
      <alignment horizontal="left" vertical="center" textRotation="0" wrapText="false" indent="1"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center" textRotation="0" wrapText="false" indent="0" shrinkToFit="false"/>
      <protection locked="true" hidden="false"/>
    </xf>
    <xf numFmtId="164" fontId="16" fillId="6" borderId="0" xfId="0" applyFont="true" applyBorder="false" applyAlignment="true" applyProtection="false">
      <alignment horizontal="left" vertical="center"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5" fontId="21" fillId="7"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6" fontId="21" fillId="7" borderId="0" xfId="0" applyFont="true" applyBorder="false" applyAlignment="true" applyProtection="false">
      <alignment horizontal="right" vertical="center" textRotation="0" wrapText="false" indent="0" shrinkToFit="false"/>
      <protection locked="true" hidden="false"/>
    </xf>
    <xf numFmtId="167" fontId="21" fillId="7" borderId="0" xfId="0" applyFont="true" applyBorder="false" applyAlignment="true" applyProtection="false">
      <alignment horizontal="right" vertical="center" textRotation="0" wrapText="false" indent="0" shrinkToFit="false"/>
      <protection locked="true" hidden="false"/>
    </xf>
    <xf numFmtId="168" fontId="21" fillId="7" borderId="0" xfId="0" applyFont="true" applyBorder="false" applyAlignment="true" applyProtection="false">
      <alignment horizontal="right" vertical="center" textRotation="0" wrapText="false" indent="0" shrinkToFit="false"/>
      <protection locked="true" hidden="false"/>
    </xf>
    <xf numFmtId="169" fontId="21" fillId="7" borderId="0" xfId="0" applyFont="true" applyBorder="false" applyAlignment="true" applyProtection="false">
      <alignment horizontal="right" vertical="center" textRotation="0" wrapText="false" indent="0" shrinkToFit="false"/>
      <protection locked="true" hidden="false"/>
    </xf>
    <xf numFmtId="170" fontId="20" fillId="3" borderId="0" xfId="0" applyFont="true" applyBorder="false" applyAlignment="true" applyProtection="false">
      <alignment horizontal="center" vertical="center" textRotation="0" wrapText="false" indent="0" shrinkToFit="false"/>
      <protection locked="true" hidden="false"/>
    </xf>
    <xf numFmtId="170" fontId="10" fillId="0" borderId="0" xfId="0" applyFont="true" applyBorder="false" applyAlignment="true" applyProtection="false">
      <alignment horizontal="center"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5" fontId="20" fillId="0" borderId="2" xfId="0" applyFont="true" applyBorder="true" applyAlignment="true" applyProtection="false">
      <alignment horizontal="right" vertical="center" textRotation="0" wrapText="false" indent="0" shrinkToFit="false"/>
      <protection locked="true" hidden="false"/>
    </xf>
    <xf numFmtId="165" fontId="20" fillId="0" borderId="3" xfId="0" applyFont="true" applyBorder="true" applyAlignment="true" applyProtection="false">
      <alignment horizontal="right" vertical="center" textRotation="0" wrapText="false" indent="0" shrinkToFit="false"/>
      <protection locked="true" hidden="false"/>
    </xf>
    <xf numFmtId="171" fontId="22" fillId="0" borderId="0" xfId="0" applyFont="true" applyBorder="false" applyAlignment="true" applyProtection="false">
      <alignment horizontal="right" vertical="center" textRotation="0" wrapText="false" indent="0"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5" fontId="20" fillId="0" borderId="0" xfId="0" applyFont="true" applyBorder="false" applyAlignment="true" applyProtection="false">
      <alignment horizontal="right"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72" fontId="10" fillId="0"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E2EFDA"/>
        </patternFill>
      </fill>
    </dxf>
    <dxf>
      <fill>
        <patternFill>
          <bgColor rgb="FFFCE4D6"/>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A9D18E"/>
      <rgbColor rgb="FF808080"/>
      <rgbColor rgb="FF9999FF"/>
      <rgbColor rgb="FF7030A0"/>
      <rgbColor rgb="FFFFF2CC"/>
      <rgbColor rgb="FFD6E4F0"/>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F2F2F2"/>
      <rgbColor rgb="FFE2EFDA"/>
      <rgbColor rgb="FFFCE4D6"/>
      <rgbColor rgb="FF99CCFF"/>
      <rgbColor rgb="FFFF99CC"/>
      <rgbColor rgb="FFCC99FF"/>
      <rgbColor rgb="FFFFD966"/>
      <rgbColor rgb="FF2E75B6"/>
      <rgbColor rgb="FF33CCCC"/>
      <rgbColor rgb="FF99CC00"/>
      <rgbColor rgb="FFFFCC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5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6" t="s">
        <v>3</v>
      </c>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5"/>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4</v>
      </c>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5</v>
      </c>
      <c r="C7" s="5"/>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6</v>
      </c>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9.5" hidden="false" customHeight="true" outlineLevel="0" collapsed="false">
      <c r="A12" s="5"/>
      <c r="B12" s="8" t="s">
        <v>7</v>
      </c>
      <c r="C12" s="9"/>
      <c r="D12" s="9"/>
      <c r="E12" s="9"/>
      <c r="F12" s="9"/>
      <c r="G12" s="9"/>
      <c r="H12" s="5"/>
      <c r="I12" s="5"/>
      <c r="J12" s="5"/>
      <c r="K12" s="5"/>
      <c r="L12" s="5"/>
      <c r="M12" s="5"/>
      <c r="N12" s="5"/>
      <c r="O12" s="5"/>
      <c r="P12" s="5"/>
      <c r="Q12" s="5"/>
      <c r="R12" s="5"/>
      <c r="S12" s="5"/>
      <c r="T12" s="5"/>
      <c r="U12" s="5"/>
      <c r="V12" s="5"/>
      <c r="W12" s="5"/>
      <c r="X12" s="5"/>
      <c r="Y12" s="5"/>
      <c r="Z12" s="5"/>
      <c r="AA12" s="5"/>
      <c r="AB12" s="5"/>
      <c r="AC12" s="5"/>
      <c r="AD12" s="5"/>
    </row>
    <row r="13" customFormat="false" ht="220.5" hidden="false" customHeight="true" outlineLevel="0" collapsed="false">
      <c r="A13" s="5"/>
      <c r="B13" s="10" t="s">
        <v>8</v>
      </c>
      <c r="C13" s="10"/>
      <c r="D13" s="10"/>
      <c r="E13" s="10"/>
      <c r="F13" s="10"/>
      <c r="G13" s="10"/>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9.5" hidden="false" customHeight="true" outlineLevel="0" collapsed="false">
      <c r="A15" s="5"/>
      <c r="B15" s="8" t="s">
        <v>9</v>
      </c>
      <c r="C15" s="9"/>
      <c r="D15" s="9"/>
      <c r="E15" s="9"/>
      <c r="F15" s="9"/>
      <c r="G15" s="9"/>
      <c r="H15" s="5"/>
      <c r="I15" s="5"/>
      <c r="J15" s="5"/>
      <c r="K15" s="5"/>
      <c r="L15" s="5"/>
      <c r="M15" s="5"/>
      <c r="N15" s="5"/>
      <c r="O15" s="5"/>
      <c r="P15" s="5"/>
      <c r="Q15" s="5"/>
      <c r="R15" s="5"/>
      <c r="S15" s="5"/>
      <c r="T15" s="5"/>
      <c r="U15" s="5"/>
      <c r="V15" s="5"/>
      <c r="W15" s="5"/>
      <c r="X15" s="5"/>
      <c r="Y15" s="5"/>
      <c r="Z15" s="5"/>
      <c r="AA15" s="5"/>
      <c r="AB15" s="5"/>
      <c r="AC15" s="5"/>
      <c r="AD15" s="5"/>
    </row>
    <row r="16" customFormat="false" ht="57" hidden="false" customHeight="true" outlineLevel="0" collapsed="false">
      <c r="A16" s="5"/>
      <c r="B16" s="10" t="s">
        <v>10</v>
      </c>
      <c r="C16" s="10"/>
      <c r="D16" s="10"/>
      <c r="E16" s="10"/>
      <c r="F16" s="10"/>
      <c r="G16" s="10"/>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1" t="s">
        <v>11</v>
      </c>
      <c r="C17" s="11"/>
      <c r="D17" s="11"/>
      <c r="E17" s="11"/>
      <c r="F17" s="11"/>
      <c r="G17" s="11"/>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2" t="s">
        <v>12</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sheetData>
  <mergeCells count="3">
    <mergeCell ref="B13:G13"/>
    <mergeCell ref="B16:G16"/>
    <mergeCell ref="B17:G1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D966"/>
    <pageSetUpPr fitToPage="false"/>
  </sheetPr>
  <dimension ref="A1:I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236</v>
      </c>
      <c r="C2" s="5"/>
      <c r="D2" s="5"/>
      <c r="E2" s="5"/>
      <c r="F2" s="5"/>
      <c r="G2" s="5"/>
      <c r="H2" s="5"/>
      <c r="I2" s="5"/>
    </row>
    <row r="3" customFormat="false" ht="15" hidden="false" customHeight="false" outlineLevel="0" collapsed="false">
      <c r="A3" s="5"/>
      <c r="B3" s="21" t="s">
        <v>237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238</v>
      </c>
      <c r="C7" s="24"/>
      <c r="D7" s="24"/>
      <c r="E7" s="24"/>
      <c r="F7" s="24"/>
      <c r="G7" s="24"/>
      <c r="H7" s="24"/>
      <c r="I7" s="24"/>
    </row>
    <row r="8" customFormat="false" ht="15" hidden="false" customHeight="false" outlineLevel="0" collapsed="false">
      <c r="A8" s="5"/>
      <c r="B8" s="7" t="s">
        <v>239</v>
      </c>
      <c r="C8" s="34" t="n">
        <f aca="false">Income_Statement!C37</f>
        <v>-6661337.5</v>
      </c>
      <c r="D8" s="34" t="n">
        <f aca="false">Income_Statement!D37</f>
        <v>-5953706.51712329</v>
      </c>
      <c r="E8" s="34" t="n">
        <f aca="false">Income_Statement!E37</f>
        <v>-6091702.60452055</v>
      </c>
      <c r="F8" s="34" t="n">
        <f aca="false">Income_Statement!F37</f>
        <v>-6762936.25966028</v>
      </c>
      <c r="G8" s="34" t="n">
        <f aca="false">Income_Statement!G37</f>
        <v>-9628694.11113162</v>
      </c>
      <c r="H8" s="5"/>
      <c r="I8" s="5"/>
    </row>
    <row r="9" customFormat="false" ht="15" hidden="false" customHeight="false" outlineLevel="0" collapsed="false">
      <c r="A9" s="5"/>
      <c r="B9" s="7" t="s">
        <v>240</v>
      </c>
      <c r="C9" s="34" t="n">
        <f aca="false">-Income_Statement!C23</f>
        <v>8000000</v>
      </c>
      <c r="D9" s="34" t="n">
        <f aca="false">-Income_Statement!D23</f>
        <v>10400000</v>
      </c>
      <c r="E9" s="34" t="n">
        <f aca="false">-Income_Statement!E23</f>
        <v>13520000</v>
      </c>
      <c r="F9" s="34" t="n">
        <f aca="false">-Income_Statement!F23</f>
        <v>17576000</v>
      </c>
      <c r="G9" s="34" t="n">
        <f aca="false">-Income_Statement!G23</f>
        <v>22848800</v>
      </c>
      <c r="H9" s="5"/>
      <c r="I9" s="5"/>
    </row>
    <row r="10" customFormat="false" ht="15" hidden="false" customHeight="false" outlineLevel="0" collapsed="false">
      <c r="A10" s="5"/>
      <c r="B10" s="7" t="s">
        <v>241</v>
      </c>
      <c r="C10" s="34" t="n">
        <f aca="false">-Balance_Sheet!C10</f>
        <v>-72469.1780821918</v>
      </c>
      <c r="D10" s="34" t="n">
        <f aca="false">Balance_Sheet!C10-Balance_Sheet!D10</f>
        <v>-56771.9178082192</v>
      </c>
      <c r="E10" s="34" t="n">
        <f aca="false">Balance_Sheet!D10-Balance_Sheet!E10</f>
        <v>-71720.2739726027</v>
      </c>
      <c r="F10" s="34" t="n">
        <f aca="false">Balance_Sheet!E10-Balance_Sheet!F10</f>
        <v>-80836.7671232877</v>
      </c>
      <c r="G10" s="34" t="n">
        <f aca="false">Balance_Sheet!F10-Balance_Sheet!G10</f>
        <v>-58871.3424657534</v>
      </c>
      <c r="H10" s="5"/>
      <c r="I10" s="5"/>
    </row>
    <row r="11" customFormat="false" ht="15" hidden="false" customHeight="false" outlineLevel="0" collapsed="false">
      <c r="A11" s="5"/>
      <c r="B11" s="7" t="s">
        <v>242</v>
      </c>
      <c r="C11" s="34" t="n">
        <f aca="false">Balance_Sheet!C15</f>
        <v>228893.75</v>
      </c>
      <c r="D11" s="34" t="n">
        <f aca="false">Balance_Sheet!D15-Balance_Sheet!C15</f>
        <v>39401.25</v>
      </c>
      <c r="E11" s="34" t="n">
        <f aca="false">Balance_Sheet!E15-Balance_Sheet!D15</f>
        <v>46526.5</v>
      </c>
      <c r="F11" s="34" t="n">
        <f aca="false">Balance_Sheet!F15-Balance_Sheet!E15</f>
        <v>52581.54</v>
      </c>
      <c r="G11" s="34" t="n">
        <f aca="false">Balance_Sheet!G15-Balance_Sheet!F15</f>
        <v>51048.1391999999</v>
      </c>
      <c r="H11" s="5"/>
      <c r="I11" s="5"/>
    </row>
    <row r="12" customFormat="false" ht="15" hidden="false" customHeight="false" outlineLevel="0" collapsed="false">
      <c r="A12" s="5"/>
      <c r="B12" s="5"/>
      <c r="C12" s="5"/>
      <c r="D12" s="5"/>
      <c r="E12" s="5"/>
      <c r="F12" s="5"/>
      <c r="G12" s="5"/>
      <c r="H12" s="5"/>
      <c r="I12" s="5"/>
    </row>
    <row r="13" customFormat="false" ht="15" hidden="false" customHeight="false" outlineLevel="0" collapsed="false">
      <c r="A13" s="5"/>
      <c r="B13" s="36" t="s">
        <v>243</v>
      </c>
      <c r="C13" s="37" t="n">
        <f aca="false">C8+C9+C10+C11</f>
        <v>1495087.07191781</v>
      </c>
      <c r="D13" s="37" t="n">
        <f aca="false">D8+D9+D10+D11</f>
        <v>4428922.81506849</v>
      </c>
      <c r="E13" s="37" t="n">
        <f aca="false">E8+E9+E10+E11</f>
        <v>7403103.62150685</v>
      </c>
      <c r="F13" s="37" t="n">
        <f aca="false">F8+F9+F10+F11</f>
        <v>10784808.5132164</v>
      </c>
      <c r="G13" s="37" t="n">
        <f aca="false">G8+G9+G10+G11</f>
        <v>13212282.6856026</v>
      </c>
      <c r="H13" s="5"/>
      <c r="I13" s="5"/>
    </row>
    <row r="14" customFormat="false" ht="15" hidden="false" customHeight="false" outlineLevel="0" collapsed="false">
      <c r="A14" s="5"/>
      <c r="B14" s="23" t="s">
        <v>244</v>
      </c>
      <c r="C14" s="24"/>
      <c r="D14" s="24"/>
      <c r="E14" s="24"/>
      <c r="F14" s="24"/>
      <c r="G14" s="24"/>
      <c r="H14" s="24"/>
      <c r="I14" s="24"/>
    </row>
    <row r="15" customFormat="false" ht="15" hidden="false" customHeight="false" outlineLevel="0" collapsed="false">
      <c r="A15" s="5"/>
      <c r="B15" s="7" t="s">
        <v>245</v>
      </c>
      <c r="C15" s="34" t="n">
        <f aca="false">-(TVL_Reserves!C16-TVL_Reserves!C14)</f>
        <v>-55000000</v>
      </c>
      <c r="D15" s="34" t="n">
        <f aca="false">-(TVL_Reserves!D16-TVL_Reserves!D14)</f>
        <v>-88000000</v>
      </c>
      <c r="E15" s="34" t="n">
        <f aca="false">-(TVL_Reserves!E16-TVL_Reserves!E14)</f>
        <v>-118800000</v>
      </c>
      <c r="F15" s="34" t="n">
        <f aca="false">-(TVL_Reserves!F16-TVL_Reserves!F14)</f>
        <v>-126720000</v>
      </c>
      <c r="G15" s="34" t="n">
        <f aca="false">-(TVL_Reserves!G16-TVL_Reserves!G14)</f>
        <v>-110880000</v>
      </c>
      <c r="H15" s="5"/>
      <c r="I15" s="5"/>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6" t="s">
        <v>246</v>
      </c>
      <c r="C17" s="37" t="n">
        <f aca="false">C15</f>
        <v>-55000000</v>
      </c>
      <c r="D17" s="37" t="n">
        <f aca="false">D15</f>
        <v>-88000000</v>
      </c>
      <c r="E17" s="37" t="n">
        <f aca="false">E15</f>
        <v>-118800000</v>
      </c>
      <c r="F17" s="37" t="n">
        <f aca="false">F15</f>
        <v>-126720000</v>
      </c>
      <c r="G17" s="37" t="n">
        <f aca="false">G15</f>
        <v>-110880000</v>
      </c>
      <c r="H17" s="5"/>
      <c r="I17" s="5"/>
    </row>
    <row r="18" customFormat="false" ht="15" hidden="false" customHeight="false" outlineLevel="0" collapsed="false">
      <c r="A18" s="5"/>
      <c r="B18" s="23" t="s">
        <v>247</v>
      </c>
      <c r="C18" s="24"/>
      <c r="D18" s="24"/>
      <c r="E18" s="24"/>
      <c r="F18" s="24"/>
      <c r="G18" s="24"/>
      <c r="H18" s="24"/>
      <c r="I18" s="24"/>
    </row>
    <row r="19" customFormat="false" ht="15" hidden="false" customHeight="false" outlineLevel="0" collapsed="false">
      <c r="A19" s="5"/>
      <c r="B19" s="7" t="s">
        <v>248</v>
      </c>
      <c r="C19" s="34" t="n">
        <f aca="false">TVL_Reserves!C11-TVL_Reserves!C8</f>
        <v>50000000</v>
      </c>
      <c r="D19" s="34" t="n">
        <f aca="false">TVL_Reserves!D11-TVL_Reserves!D8</f>
        <v>80000000</v>
      </c>
      <c r="E19" s="34" t="n">
        <f aca="false">TVL_Reserves!E11-TVL_Reserves!E8</f>
        <v>108000000</v>
      </c>
      <c r="F19" s="34" t="n">
        <f aca="false">TVL_Reserves!F11-TVL_Reserves!F8</f>
        <v>115200000</v>
      </c>
      <c r="G19" s="34" t="n">
        <f aca="false">TVL_Reserves!G11-TVL_Reserves!G8</f>
        <v>100800000</v>
      </c>
      <c r="H19" s="5"/>
      <c r="I19" s="5"/>
    </row>
    <row r="20" customFormat="false" ht="15" hidden="false" customHeight="false" outlineLevel="0" collapsed="false">
      <c r="A20" s="5"/>
      <c r="B20" s="7" t="s">
        <v>249</v>
      </c>
      <c r="C20" s="34" t="n">
        <f aca="false">Equity_Injection</f>
        <v>20000000</v>
      </c>
      <c r="D20" s="34" t="n">
        <f aca="false">0</f>
        <v>0</v>
      </c>
      <c r="E20" s="34" t="n">
        <f aca="false">0</f>
        <v>0</v>
      </c>
      <c r="F20" s="34" t="n">
        <f aca="false">0</f>
        <v>0</v>
      </c>
      <c r="G20" s="34" t="n">
        <f aca="false">0</f>
        <v>0</v>
      </c>
      <c r="H20" s="5"/>
      <c r="I20" s="5"/>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36" t="s">
        <v>250</v>
      </c>
      <c r="C22" s="37" t="n">
        <f aca="false">C19+C20</f>
        <v>70000000</v>
      </c>
      <c r="D22" s="37" t="n">
        <f aca="false">D19+D20</f>
        <v>80000000</v>
      </c>
      <c r="E22" s="37" t="n">
        <f aca="false">E19+E20</f>
        <v>108000000</v>
      </c>
      <c r="F22" s="37" t="n">
        <f aca="false">F19+F20</f>
        <v>115200000</v>
      </c>
      <c r="G22" s="37" t="n">
        <f aca="false">G19+G20</f>
        <v>100800000</v>
      </c>
      <c r="H22" s="5"/>
      <c r="I22" s="5"/>
    </row>
    <row r="23" customFormat="false" ht="15" hidden="false" customHeight="false" outlineLevel="0" collapsed="false">
      <c r="A23" s="5"/>
      <c r="B23" s="23" t="s">
        <v>251</v>
      </c>
      <c r="C23" s="24"/>
      <c r="D23" s="24"/>
      <c r="E23" s="24"/>
      <c r="F23" s="24"/>
      <c r="G23" s="24"/>
      <c r="H23" s="24"/>
      <c r="I23" s="24"/>
    </row>
    <row r="24" customFormat="false" ht="15" hidden="false" customHeight="false" outlineLevel="0" collapsed="false">
      <c r="A24" s="5"/>
      <c r="B24" s="7" t="s">
        <v>252</v>
      </c>
      <c r="C24" s="34" t="n">
        <f aca="false">C13+C17+C22</f>
        <v>16495087.0719178</v>
      </c>
      <c r="D24" s="34" t="n">
        <f aca="false">D13+D17+D22</f>
        <v>-3571077.18493152</v>
      </c>
      <c r="E24" s="34" t="n">
        <f aca="false">E13+E17+E22</f>
        <v>-3396896.37849312</v>
      </c>
      <c r="F24" s="34" t="n">
        <f aca="false">F13+F17+F22</f>
        <v>-735191.486783624</v>
      </c>
      <c r="G24" s="34" t="n">
        <f aca="false">G13+G17+G22</f>
        <v>3132282.68560269</v>
      </c>
      <c r="H24" s="5"/>
      <c r="I24" s="5"/>
    </row>
    <row r="25" customFormat="false" ht="15" hidden="false" customHeight="false" outlineLevel="0" collapsed="false">
      <c r="A25" s="5"/>
      <c r="B25" s="7" t="s">
        <v>107</v>
      </c>
      <c r="C25" s="34" t="n">
        <f aca="false">Open_Cash</f>
        <v>0</v>
      </c>
      <c r="D25" s="34" t="n">
        <f aca="false">C26</f>
        <v>16495087.0719178</v>
      </c>
      <c r="E25" s="34" t="n">
        <f aca="false">D26</f>
        <v>12924009.8869863</v>
      </c>
      <c r="F25" s="34" t="n">
        <f aca="false">E26</f>
        <v>9527113.50849317</v>
      </c>
      <c r="G25" s="34" t="n">
        <f aca="false">F26</f>
        <v>8791922.02170955</v>
      </c>
      <c r="H25" s="5"/>
      <c r="I25" s="5"/>
    </row>
    <row r="26" customFormat="false" ht="15" hidden="false" customHeight="false" outlineLevel="0" collapsed="false">
      <c r="A26" s="5"/>
      <c r="B26" s="36" t="s">
        <v>253</v>
      </c>
      <c r="C26" s="38" t="n">
        <f aca="false">C25+C24</f>
        <v>16495087.0719178</v>
      </c>
      <c r="D26" s="38" t="n">
        <f aca="false">D25+D24</f>
        <v>12924009.8869863</v>
      </c>
      <c r="E26" s="38" t="n">
        <f aca="false">E25+E24</f>
        <v>9527113.50849317</v>
      </c>
      <c r="F26" s="38" t="n">
        <f aca="false">F25+F24</f>
        <v>8791922.02170955</v>
      </c>
      <c r="G26" s="38" t="n">
        <f aca="false">G25+G24</f>
        <v>11924204.7073122</v>
      </c>
      <c r="H26" s="5"/>
      <c r="I2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I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8"/>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254</v>
      </c>
      <c r="C2" s="5"/>
      <c r="D2" s="5"/>
      <c r="E2" s="5"/>
      <c r="F2" s="5"/>
      <c r="G2" s="5"/>
      <c r="H2" s="5"/>
      <c r="I2" s="5"/>
    </row>
    <row r="3" customFormat="false" ht="15" hidden="false" customHeight="false" outlineLevel="0" collapsed="false">
      <c r="A3" s="5"/>
      <c r="B3" s="21" t="s">
        <v>255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22" t="s">
        <v>256</v>
      </c>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257</v>
      </c>
      <c r="C7" s="24"/>
      <c r="D7" s="24"/>
      <c r="E7" s="24"/>
      <c r="F7" s="24"/>
      <c r="G7" s="24"/>
      <c r="H7" s="24"/>
      <c r="I7" s="24"/>
    </row>
    <row r="8" customFormat="false" ht="15" hidden="false" customHeight="false" outlineLevel="0" collapsed="false">
      <c r="A8" s="5"/>
      <c r="B8" s="7" t="s">
        <v>55</v>
      </c>
      <c r="C8" s="34" t="n">
        <f aca="false">Income_Statement!C8</f>
        <v>3778750</v>
      </c>
      <c r="D8" s="34" t="n">
        <f aca="false">Income_Statement!D8</f>
        <v>6739000</v>
      </c>
      <c r="E8" s="34" t="n">
        <f aca="false">Income_Statement!E8</f>
        <v>10478700</v>
      </c>
      <c r="F8" s="34" t="n">
        <f aca="false">Income_Statement!F8</f>
        <v>14693760</v>
      </c>
      <c r="G8" s="34" t="n">
        <f aca="false">Income_Statement!G8</f>
        <v>17763480</v>
      </c>
      <c r="H8" s="5"/>
      <c r="I8" s="5"/>
    </row>
    <row r="9" customFormat="false" ht="15" hidden="false" customHeight="false" outlineLevel="0" collapsed="false">
      <c r="A9" s="5"/>
      <c r="B9" s="7" t="s">
        <v>201</v>
      </c>
      <c r="C9" s="34" t="n">
        <f aca="false">Income_Statement!C20</f>
        <v>1338662.5</v>
      </c>
      <c r="D9" s="34" t="n">
        <f aca="false">Income_Statement!D20</f>
        <v>3786490</v>
      </c>
      <c r="E9" s="34" t="n">
        <f aca="false">Income_Statement!E20</f>
        <v>6911337</v>
      </c>
      <c r="F9" s="34" t="n">
        <f aca="false">Income_Statement!F20</f>
        <v>10431979.2</v>
      </c>
      <c r="G9" s="34" t="n">
        <f aca="false">Income_Statement!G20</f>
        <v>12868429.008</v>
      </c>
      <c r="H9" s="5"/>
      <c r="I9" s="5"/>
    </row>
    <row r="10" customFormat="false" ht="15" hidden="false" customHeight="false" outlineLevel="0" collapsed="false">
      <c r="A10" s="5"/>
      <c r="B10" s="7" t="s">
        <v>205</v>
      </c>
      <c r="C10" s="34" t="n">
        <f aca="false">Income_Statement!C24</f>
        <v>-6661337.5</v>
      </c>
      <c r="D10" s="34" t="n">
        <f aca="false">Income_Statement!D24</f>
        <v>-6613510</v>
      </c>
      <c r="E10" s="34" t="n">
        <f aca="false">Income_Statement!E24</f>
        <v>-6608663</v>
      </c>
      <c r="F10" s="34" t="n">
        <f aca="false">Income_Statement!F24</f>
        <v>-7144020.8</v>
      </c>
      <c r="G10" s="34" t="n">
        <f aca="false">Income_Statement!G24</f>
        <v>-9980370.992</v>
      </c>
      <c r="H10" s="5"/>
      <c r="I10" s="5"/>
    </row>
    <row r="11" customFormat="false" ht="15" hidden="false" customHeight="false" outlineLevel="0" collapsed="false">
      <c r="A11" s="5"/>
      <c r="B11" s="7" t="s">
        <v>217</v>
      </c>
      <c r="C11" s="34" t="n">
        <f aca="false">Income_Statement!C37</f>
        <v>-6661337.5</v>
      </c>
      <c r="D11" s="34" t="n">
        <f aca="false">Income_Statement!D37</f>
        <v>-5953706.51712329</v>
      </c>
      <c r="E11" s="34" t="n">
        <f aca="false">Income_Statement!E37</f>
        <v>-6091702.60452055</v>
      </c>
      <c r="F11" s="34" t="n">
        <f aca="false">Income_Statement!F37</f>
        <v>-6762936.25966028</v>
      </c>
      <c r="G11" s="34" t="n">
        <f aca="false">Income_Statement!G37</f>
        <v>-9628694.11113162</v>
      </c>
      <c r="H11" s="5"/>
      <c r="I11" s="5"/>
    </row>
    <row r="12" customFormat="false" ht="15" hidden="false" customHeight="false" outlineLevel="0" collapsed="false">
      <c r="A12" s="5"/>
      <c r="B12" s="7" t="s">
        <v>258</v>
      </c>
      <c r="C12" s="34" t="n">
        <f aca="false">Cash_Flow!C13</f>
        <v>1495087.07191781</v>
      </c>
      <c r="D12" s="34" t="n">
        <f aca="false">Cash_Flow!D13</f>
        <v>4428922.81506849</v>
      </c>
      <c r="E12" s="34" t="n">
        <f aca="false">Cash_Flow!E13</f>
        <v>7403103.62150685</v>
      </c>
      <c r="F12" s="34" t="n">
        <f aca="false">Cash_Flow!F13</f>
        <v>10784808.5132164</v>
      </c>
      <c r="G12" s="34" t="n">
        <f aca="false">Cash_Flow!G13</f>
        <v>13212282.6856026</v>
      </c>
      <c r="H12" s="5"/>
      <c r="I12" s="5"/>
    </row>
    <row r="13" customFormat="false" ht="15" hidden="false" customHeight="false" outlineLevel="0" collapsed="false">
      <c r="A13" s="5"/>
      <c r="B13" s="23" t="s">
        <v>259</v>
      </c>
      <c r="C13" s="24"/>
      <c r="D13" s="24"/>
      <c r="E13" s="24"/>
      <c r="F13" s="24"/>
      <c r="G13" s="24"/>
      <c r="H13" s="24"/>
      <c r="I13" s="24"/>
    </row>
    <row r="14" customFormat="false" ht="15" hidden="false" customHeight="false" outlineLevel="0" collapsed="false">
      <c r="A14" s="5"/>
      <c r="B14" s="7" t="s">
        <v>260</v>
      </c>
      <c r="C14" s="34" t="n">
        <f aca="false">Income_Statement!C20*(1-Tax_Rate)</f>
        <v>1178023</v>
      </c>
      <c r="D14" s="34" t="n">
        <f aca="false">Income_Statement!D20*(1-Tax_Rate)</f>
        <v>3332111.2</v>
      </c>
      <c r="E14" s="34" t="n">
        <f aca="false">Income_Statement!E20*(1-Tax_Rate)</f>
        <v>6081976.56</v>
      </c>
      <c r="F14" s="34" t="n">
        <f aca="false">Income_Statement!F20*(1-Tax_Rate)</f>
        <v>9180141.696</v>
      </c>
      <c r="G14" s="34" t="n">
        <f aca="false">Income_Statement!G20*(1-Tax_Rate)</f>
        <v>11324217.52704</v>
      </c>
      <c r="H14" s="5"/>
      <c r="I14" s="5"/>
    </row>
    <row r="15" customFormat="false" ht="15" hidden="false" customHeight="false" outlineLevel="0" collapsed="false">
      <c r="A15" s="5"/>
      <c r="B15" s="7" t="s">
        <v>261</v>
      </c>
      <c r="C15" s="39" t="n">
        <f aca="false">1/(1+WACC)^C6</f>
        <v>0.813008130081301</v>
      </c>
      <c r="D15" s="39" t="n">
        <f aca="false">1/(1+WACC)^D6</f>
        <v>0.660982219578293</v>
      </c>
      <c r="E15" s="39" t="n">
        <f aca="false">1/(1+WACC)^E6</f>
        <v>0.537383918356336</v>
      </c>
      <c r="F15" s="39" t="n">
        <f aca="false">1/(1+WACC)^F6</f>
        <v>0.436897494598647</v>
      </c>
      <c r="G15" s="39" t="n">
        <f aca="false">1/(1+WACC)^G6</f>
        <v>0.355201215120851</v>
      </c>
      <c r="H15" s="5"/>
      <c r="I15" s="5"/>
    </row>
    <row r="16" customFormat="false" ht="15" hidden="false" customHeight="false" outlineLevel="0" collapsed="false">
      <c r="A16" s="5"/>
      <c r="B16" s="7" t="s">
        <v>262</v>
      </c>
      <c r="C16" s="34" t="n">
        <f aca="false">C14*C15</f>
        <v>957742.276422765</v>
      </c>
      <c r="D16" s="34" t="n">
        <f aca="false">D14*D15</f>
        <v>2202466.25685769</v>
      </c>
      <c r="E16" s="34" t="n">
        <f aca="false">E14*E15</f>
        <v>3268356.39516419</v>
      </c>
      <c r="F16" s="34" t="n">
        <f aca="false">F14*F15</f>
        <v>4010780.90704298</v>
      </c>
      <c r="G16" s="34" t="n">
        <f aca="false">G14*G15</f>
        <v>4022375.82589745</v>
      </c>
      <c r="H16" s="5"/>
      <c r="I16" s="5"/>
    </row>
    <row r="17" customFormat="false" ht="15" hidden="false" customHeight="false" outlineLevel="0" collapsed="false">
      <c r="A17" s="5"/>
      <c r="B17" s="23" t="s">
        <v>263</v>
      </c>
      <c r="C17" s="24"/>
      <c r="D17" s="24"/>
      <c r="E17" s="24"/>
      <c r="F17" s="24"/>
      <c r="G17" s="24"/>
      <c r="H17" s="24"/>
      <c r="I17" s="24"/>
    </row>
    <row r="18" customFormat="false" ht="15" hidden="false" customHeight="false" outlineLevel="0" collapsed="false">
      <c r="A18" s="5"/>
      <c r="B18" s="36" t="s">
        <v>264</v>
      </c>
      <c r="C18" s="5"/>
      <c r="D18" s="5"/>
      <c r="E18" s="5"/>
      <c r="F18" s="5"/>
      <c r="G18" s="5"/>
      <c r="H18" s="41" t="n">
        <f aca="false">SUM(C16:G16)</f>
        <v>14461721.6613851</v>
      </c>
      <c r="I18" s="5"/>
    </row>
    <row r="19" customFormat="false" ht="15" hidden="false" customHeight="false" outlineLevel="0" collapsed="false">
      <c r="A19" s="5"/>
      <c r="B19" s="7" t="s">
        <v>265</v>
      </c>
      <c r="C19" s="5"/>
      <c r="D19" s="5"/>
      <c r="E19" s="5"/>
      <c r="F19" s="5"/>
      <c r="G19" s="5"/>
      <c r="H19" s="43" t="n">
        <f aca="false">Income_Statement!G20*(1-Tax_Rate)*(1+Terminal_Growth)</f>
        <v>11777186.2281216</v>
      </c>
      <c r="I19" s="5"/>
    </row>
    <row r="20" customFormat="false" ht="15" hidden="false" customHeight="false" outlineLevel="0" collapsed="false">
      <c r="A20" s="5"/>
      <c r="B20" s="7" t="s">
        <v>266</v>
      </c>
      <c r="C20" s="5"/>
      <c r="D20" s="5"/>
      <c r="E20" s="5"/>
      <c r="F20" s="5"/>
      <c r="G20" s="5"/>
      <c r="H20" s="43" t="n">
        <f aca="false">H19/(WACC-Terminal_Growth)</f>
        <v>61985190.6743242</v>
      </c>
      <c r="I20" s="5"/>
    </row>
    <row r="21" customFormat="false" ht="15" hidden="false" customHeight="false" outlineLevel="0" collapsed="false">
      <c r="A21" s="5"/>
      <c r="B21" s="7" t="s">
        <v>267</v>
      </c>
      <c r="C21" s="5"/>
      <c r="D21" s="5"/>
      <c r="E21" s="5"/>
      <c r="F21" s="5"/>
      <c r="G21" s="5"/>
      <c r="H21" s="43" t="n">
        <f aca="false">H20/(1+WACC)^5</f>
        <v>22017215.0470176</v>
      </c>
      <c r="I21" s="5"/>
    </row>
    <row r="22" customFormat="false" ht="15" hidden="false" customHeight="false" outlineLevel="0" collapsed="false">
      <c r="A22" s="5"/>
      <c r="B22" s="36" t="s">
        <v>268</v>
      </c>
      <c r="C22" s="5"/>
      <c r="D22" s="5"/>
      <c r="E22" s="5"/>
      <c r="F22" s="5"/>
      <c r="G22" s="5"/>
      <c r="H22" s="38" t="n">
        <f aca="false">H18+H21</f>
        <v>36478936.7084027</v>
      </c>
      <c r="I22" s="5"/>
    </row>
    <row r="23" customFormat="false" ht="15" hidden="false" customHeight="false" outlineLevel="0" collapsed="false">
      <c r="A23" s="5"/>
      <c r="B23" s="7" t="s">
        <v>269</v>
      </c>
      <c r="C23" s="5"/>
      <c r="D23" s="5"/>
      <c r="E23" s="5"/>
      <c r="F23" s="5"/>
      <c r="G23" s="5"/>
      <c r="H23" s="43" t="n">
        <f aca="false">Income_Statement!G20*Exit_Multiple</f>
        <v>193026435.12</v>
      </c>
      <c r="I23" s="5"/>
    </row>
    <row r="24" customFormat="false" ht="15" hidden="false" customHeight="false" outlineLevel="0" collapsed="false">
      <c r="A24" s="5"/>
      <c r="B24" s="7" t="s">
        <v>270</v>
      </c>
      <c r="C24" s="5"/>
      <c r="D24" s="5"/>
      <c r="E24" s="5"/>
      <c r="F24" s="5"/>
      <c r="G24" s="5"/>
      <c r="H24" s="44" t="n">
        <f aca="false">H22/Income_Statement!G20</f>
        <v>2.83476224531562</v>
      </c>
      <c r="I24" s="5"/>
    </row>
    <row r="25" customFormat="false" ht="15" hidden="false" customHeight="false" outlineLevel="0" collapsed="false">
      <c r="A25" s="5"/>
      <c r="B25" s="23" t="s">
        <v>271</v>
      </c>
      <c r="C25" s="24"/>
      <c r="D25" s="24"/>
      <c r="E25" s="24"/>
      <c r="F25" s="24"/>
      <c r="G25" s="24"/>
      <c r="H25" s="24"/>
      <c r="I25" s="24"/>
    </row>
    <row r="26" customFormat="false" ht="15" hidden="false" customHeight="false" outlineLevel="0" collapsed="false">
      <c r="A26" s="5"/>
      <c r="B26" s="7" t="s">
        <v>272</v>
      </c>
      <c r="C26" s="5"/>
      <c r="D26" s="5"/>
      <c r="E26" s="5"/>
      <c r="F26" s="5"/>
      <c r="G26" s="5"/>
      <c r="H26" s="43" t="n">
        <f aca="false">H22</f>
        <v>36478936.7084027</v>
      </c>
      <c r="I26" s="5"/>
    </row>
    <row r="27" customFormat="false" ht="15" hidden="false" customHeight="false" outlineLevel="0" collapsed="false">
      <c r="A27" s="5"/>
      <c r="B27" s="7" t="s">
        <v>87</v>
      </c>
      <c r="C27" s="5"/>
      <c r="D27" s="5"/>
      <c r="E27" s="5"/>
      <c r="F27" s="5"/>
      <c r="G27" s="5"/>
      <c r="H27" s="43" t="n">
        <f aca="false">Tokenomics!C8</f>
        <v>1000000000</v>
      </c>
      <c r="I27" s="5"/>
    </row>
    <row r="28" customFormat="false" ht="15" hidden="false" customHeight="false" outlineLevel="0" collapsed="false">
      <c r="A28" s="5"/>
      <c r="B28" s="7" t="s">
        <v>273</v>
      </c>
      <c r="C28" s="5"/>
      <c r="D28" s="5"/>
      <c r="E28" s="5"/>
      <c r="F28" s="5"/>
      <c r="G28" s="5"/>
      <c r="H28" s="43" t="n">
        <f aca="false">Tokenomics!G17</f>
        <v>600000000</v>
      </c>
      <c r="I28" s="5"/>
    </row>
    <row r="29" customFormat="false" ht="15" hidden="false" customHeight="false" outlineLevel="0" collapsed="false">
      <c r="A29" s="5"/>
      <c r="B29" s="7" t="s">
        <v>274</v>
      </c>
      <c r="C29" s="5"/>
      <c r="D29" s="5"/>
      <c r="E29" s="5"/>
      <c r="F29" s="5"/>
      <c r="G29" s="5"/>
      <c r="H29" s="45" t="n">
        <f aca="false">H22/Tokenomics!C8</f>
        <v>0.0364789367084027</v>
      </c>
      <c r="I29" s="5"/>
    </row>
    <row r="30" customFormat="false" ht="15" hidden="false" customHeight="false" outlineLevel="0" collapsed="false">
      <c r="A30" s="5"/>
      <c r="B30" s="7" t="s">
        <v>275</v>
      </c>
      <c r="C30" s="5"/>
      <c r="D30" s="5"/>
      <c r="E30" s="5"/>
      <c r="F30" s="5"/>
      <c r="G30" s="5"/>
      <c r="H30" s="45" t="n">
        <f aca="false">H22/Tokenomics!G17</f>
        <v>0.0607982278473378</v>
      </c>
      <c r="I30" s="5"/>
    </row>
    <row r="31" customFormat="false" ht="15" hidden="false" customHeight="false" outlineLevel="0" collapsed="false">
      <c r="A31" s="5"/>
      <c r="B31" s="7" t="s">
        <v>276</v>
      </c>
      <c r="C31" s="5"/>
      <c r="D31" s="5"/>
      <c r="E31" s="5"/>
      <c r="F31" s="5"/>
      <c r="G31" s="5"/>
      <c r="H31" s="45" t="n">
        <f aca="false">Tokenomics!G19</f>
        <v>0.28561</v>
      </c>
      <c r="I31" s="5"/>
    </row>
    <row r="32" customFormat="false" ht="15" hidden="false" customHeight="false" outlineLevel="0" collapsed="false">
      <c r="A32" s="5"/>
      <c r="B32" s="7" t="s">
        <v>277</v>
      </c>
      <c r="C32" s="5"/>
      <c r="D32" s="5"/>
      <c r="E32" s="5"/>
      <c r="F32" s="5"/>
      <c r="G32" s="5"/>
      <c r="H32" s="43" t="n">
        <f aca="false">Tokenomics!G20</f>
        <v>171366000</v>
      </c>
      <c r="I32" s="5"/>
    </row>
    <row r="33" customFormat="false" ht="15" hidden="false" customHeight="false" outlineLevel="0" collapsed="false">
      <c r="A33" s="5"/>
      <c r="B33" s="7" t="s">
        <v>278</v>
      </c>
      <c r="C33" s="5"/>
      <c r="D33" s="5"/>
      <c r="E33" s="5"/>
      <c r="F33" s="5"/>
      <c r="G33" s="5"/>
      <c r="H33" s="44" t="n">
        <f aca="false">Tokenomics!G20/H22</f>
        <v>4.69766981888282</v>
      </c>
      <c r="I3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8"/>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279</v>
      </c>
      <c r="C2" s="5"/>
      <c r="D2" s="5"/>
      <c r="E2" s="5"/>
      <c r="F2" s="5"/>
      <c r="G2" s="5"/>
      <c r="H2" s="5"/>
      <c r="I2" s="5"/>
    </row>
    <row r="3" customFormat="false" ht="15" hidden="false" customHeight="false" outlineLevel="0" collapsed="false">
      <c r="A3" s="5"/>
      <c r="B3" s="21" t="s">
        <v>280</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281</v>
      </c>
      <c r="C7" s="24"/>
      <c r="D7" s="24"/>
      <c r="E7" s="24"/>
      <c r="F7" s="24"/>
      <c r="G7" s="24"/>
      <c r="H7" s="24"/>
      <c r="I7" s="24"/>
    </row>
    <row r="8" customFormat="false" ht="15" hidden="false" customHeight="false" outlineLevel="0" collapsed="false">
      <c r="A8" s="5"/>
      <c r="B8" s="7" t="s">
        <v>282</v>
      </c>
      <c r="C8" s="46" t="b">
        <f aca="false">ABS(Balance_Sheet!C12-Balance_Sheet!C24)&lt;1</f>
        <v>1</v>
      </c>
      <c r="D8" s="46" t="b">
        <f aca="false">ABS(Balance_Sheet!D12-Balance_Sheet!D24)&lt;1</f>
        <v>1</v>
      </c>
      <c r="E8" s="46" t="b">
        <f aca="false">ABS(Balance_Sheet!E12-Balance_Sheet!E24)&lt;1</f>
        <v>1</v>
      </c>
      <c r="F8" s="46" t="b">
        <f aca="false">ABS(Balance_Sheet!F12-Balance_Sheet!F24)&lt;1</f>
        <v>1</v>
      </c>
      <c r="G8" s="46" t="b">
        <f aca="false">ABS(Balance_Sheet!G12-Balance_Sheet!G24)&lt;1</f>
        <v>1</v>
      </c>
      <c r="H8" s="5"/>
      <c r="I8" s="5"/>
    </row>
    <row r="9" customFormat="false" ht="15" hidden="false" customHeight="false" outlineLevel="0" collapsed="false">
      <c r="A9" s="5"/>
      <c r="B9" s="7" t="s">
        <v>283</v>
      </c>
      <c r="C9" s="46" t="b">
        <f aca="false">ABS(TVL_Reserves!C16-TVL_Reserves!C11*Collat_Ratio)&lt;1</f>
        <v>1</v>
      </c>
      <c r="D9" s="46" t="b">
        <f aca="false">ABS(TVL_Reserves!D16-TVL_Reserves!D11*Collat_Ratio)&lt;1</f>
        <v>1</v>
      </c>
      <c r="E9" s="46" t="b">
        <f aca="false">ABS(TVL_Reserves!E16-TVL_Reserves!E11*Collat_Ratio)&lt;1</f>
        <v>1</v>
      </c>
      <c r="F9" s="46" t="b">
        <f aca="false">ABS(TVL_Reserves!F16-TVL_Reserves!F11*Collat_Ratio)&lt;1</f>
        <v>1</v>
      </c>
      <c r="G9" s="46" t="b">
        <f aca="false">ABS(TVL_Reserves!G16-TVL_Reserves!G11*Collat_Ratio)&lt;1</f>
        <v>1</v>
      </c>
      <c r="H9" s="5"/>
      <c r="I9" s="5"/>
    </row>
    <row r="10" customFormat="false" ht="15" hidden="false" customHeight="false" outlineLevel="0" collapsed="false">
      <c r="A10" s="5"/>
      <c r="B10" s="7" t="s">
        <v>284</v>
      </c>
      <c r="C10" s="46" t="b">
        <f aca="false">Balance_Sheet!C8&gt;=0</f>
        <v>1</v>
      </c>
      <c r="D10" s="46" t="b">
        <f aca="false">Balance_Sheet!D8&gt;=0</f>
        <v>1</v>
      </c>
      <c r="E10" s="46" t="b">
        <f aca="false">Balance_Sheet!E8&gt;=0</f>
        <v>1</v>
      </c>
      <c r="F10" s="46" t="b">
        <f aca="false">Balance_Sheet!F8&gt;=0</f>
        <v>1</v>
      </c>
      <c r="G10" s="46" t="b">
        <f aca="false">Balance_Sheet!G8&gt;=0</f>
        <v>1</v>
      </c>
      <c r="H10" s="5"/>
      <c r="I10" s="5"/>
    </row>
    <row r="11" customFormat="false" ht="15" hidden="false" customHeight="false" outlineLevel="0" collapsed="false">
      <c r="A11" s="5"/>
      <c r="B11" s="7" t="s">
        <v>285</v>
      </c>
      <c r="C11" s="46" t="b">
        <f aca="false">TVL_Reserves!C16/TVL_Reserves!C11&gt;=1.05</f>
        <v>1</v>
      </c>
      <c r="D11" s="46" t="b">
        <f aca="false">TVL_Reserves!D16/TVL_Reserves!D11&gt;=1.05</f>
        <v>1</v>
      </c>
      <c r="E11" s="46" t="b">
        <f aca="false">TVL_Reserves!E16/TVL_Reserves!E11&gt;=1.05</f>
        <v>1</v>
      </c>
      <c r="F11" s="46" t="b">
        <f aca="false">TVL_Reserves!F16/TVL_Reserves!F11&gt;=1.05</f>
        <v>1</v>
      </c>
      <c r="G11" s="46" t="b">
        <f aca="false">TVL_Reserves!G16/TVL_Reserves!G11&gt;=1.05</f>
        <v>1</v>
      </c>
      <c r="H11" s="5"/>
      <c r="I11" s="5"/>
    </row>
    <row r="12" customFormat="false" ht="15" hidden="false" customHeight="false" outlineLevel="0" collapsed="false">
      <c r="A12" s="5"/>
      <c r="B12" s="7" t="s">
        <v>286</v>
      </c>
      <c r="C12" s="46" t="b">
        <f aca="false">ABS(Cash_Flow!C25+Cash_Flow!C13+Cash_Flow!C17+Cash_Flow!C22-Cash_Flow!C26)&lt;1</f>
        <v>1</v>
      </c>
      <c r="D12" s="46" t="b">
        <f aca="false">ABS(Cash_Flow!D25+Cash_Flow!D13+Cash_Flow!D17+Cash_Flow!D22-Cash_Flow!D26)&lt;1</f>
        <v>1</v>
      </c>
      <c r="E12" s="46" t="b">
        <f aca="false">ABS(Cash_Flow!E25+Cash_Flow!E13+Cash_Flow!E17+Cash_Flow!E22-Cash_Flow!E26)&lt;1</f>
        <v>1</v>
      </c>
      <c r="F12" s="46" t="b">
        <f aca="false">ABS(Cash_Flow!F25+Cash_Flow!F13+Cash_Flow!F17+Cash_Flow!F22-Cash_Flow!F26)&lt;1</f>
        <v>1</v>
      </c>
      <c r="G12" s="46" t="b">
        <f aca="false">ABS(Cash_Flow!G25+Cash_Flow!G13+Cash_Flow!G17+Cash_Flow!G22-Cash_Flow!G26)&lt;1</f>
        <v>1</v>
      </c>
      <c r="H12" s="5"/>
      <c r="I12" s="5"/>
    </row>
    <row r="13" customFormat="false" ht="15" hidden="false" customHeight="false" outlineLevel="0" collapsed="false">
      <c r="A13" s="5"/>
      <c r="B13" s="7" t="s">
        <v>287</v>
      </c>
      <c r="C13" s="46" t="b">
        <f aca="false">ABS(Balance_Sheet!C20-Open_RE-Income_Statement!C37)&lt;1</f>
        <v>1</v>
      </c>
      <c r="D13" s="46" t="b">
        <f aca="false">ABS(Balance_Sheet!D20-Balance_Sheet!C20-Income_Statement!D37)&lt;1</f>
        <v>1</v>
      </c>
      <c r="E13" s="46" t="b">
        <f aca="false">ABS(Balance_Sheet!E20-Balance_Sheet!D20-Income_Statement!E37)&lt;1</f>
        <v>1</v>
      </c>
      <c r="F13" s="46" t="b">
        <f aca="false">ABS(Balance_Sheet!F20-Balance_Sheet!E20-Income_Statement!F37)&lt;1</f>
        <v>1</v>
      </c>
      <c r="G13" s="46" t="b">
        <f aca="false">ABS(Balance_Sheet!G20-Balance_Sheet!F20-Income_Statement!G37)&lt;1</f>
        <v>1</v>
      </c>
      <c r="H13" s="5"/>
      <c r="I13" s="5"/>
    </row>
    <row r="14" customFormat="false" ht="15" hidden="false" customHeight="false" outlineLevel="0" collapsed="false">
      <c r="A14" s="5"/>
      <c r="B14" s="7" t="s">
        <v>288</v>
      </c>
      <c r="C14" s="46" t="b">
        <f aca="false">Tokenomics!C17&lt;=Total_Token_Supply</f>
        <v>1</v>
      </c>
      <c r="D14" s="46" t="b">
        <f aca="false">Tokenomics!D17&lt;=Total_Token_Supply</f>
        <v>1</v>
      </c>
      <c r="E14" s="46" t="b">
        <f aca="false">Tokenomics!E17&lt;=Total_Token_Supply</f>
        <v>1</v>
      </c>
      <c r="F14" s="46" t="b">
        <f aca="false">Tokenomics!F17&lt;=Total_Token_Supply</f>
        <v>1</v>
      </c>
      <c r="G14" s="46" t="b">
        <f aca="false">Tokenomics!G17&lt;=Total_Token_Supply</f>
        <v>1</v>
      </c>
      <c r="H14" s="5"/>
      <c r="I14" s="5"/>
    </row>
    <row r="15" customFormat="false" ht="15" hidden="false" customHeight="false" outlineLevel="0" collapsed="false">
      <c r="A15" s="5"/>
      <c r="B15" s="7" t="s">
        <v>289</v>
      </c>
      <c r="C15" s="46" t="b">
        <f aca="false">Income_Statement!C35&gt;=0</f>
        <v>1</v>
      </c>
      <c r="D15" s="46" t="b">
        <f aca="false">Income_Statement!D35&gt;=0</f>
        <v>1</v>
      </c>
      <c r="E15" s="46" t="b">
        <f aca="false">Income_Statement!E35&gt;=0</f>
        <v>1</v>
      </c>
      <c r="F15" s="46" t="b">
        <f aca="false">Income_Statement!F35&gt;=0</f>
        <v>1</v>
      </c>
      <c r="G15" s="46" t="b">
        <f aca="false">Income_Statement!G35&gt;=0</f>
        <v>1</v>
      </c>
      <c r="H15" s="5"/>
      <c r="I15" s="5"/>
    </row>
    <row r="16" customFormat="false" ht="15" hidden="false" customHeight="false" outlineLevel="0" collapsed="false">
      <c r="A16" s="5"/>
      <c r="B16" s="7" t="s">
        <v>290</v>
      </c>
      <c r="C16" s="46" t="b">
        <f aca="false">AND(WACC&gt;=0.2,WACC&lt;=0.28)</f>
        <v>1</v>
      </c>
      <c r="D16" s="46" t="b">
        <f aca="false">AND(WACC&gt;=0.2,WACC&lt;=0.28)</f>
        <v>1</v>
      </c>
      <c r="E16" s="46" t="b">
        <f aca="false">AND(WACC&gt;=0.2,WACC&lt;=0.28)</f>
        <v>1</v>
      </c>
      <c r="F16" s="46" t="b">
        <f aca="false">AND(WACC&gt;=0.2,WACC&lt;=0.28)</f>
        <v>1</v>
      </c>
      <c r="G16" s="46" t="b">
        <f aca="false">AND(WACC&gt;=0.2,WACC&lt;=0.28)</f>
        <v>1</v>
      </c>
      <c r="H16" s="5"/>
      <c r="I16" s="5"/>
    </row>
    <row r="17" customFormat="false" ht="15" hidden="false" customHeight="false" outlineLevel="0" collapsed="false">
      <c r="A17" s="5"/>
      <c r="B17" s="21" t="s">
        <v>291</v>
      </c>
      <c r="C17" s="47" t="s">
        <v>292</v>
      </c>
      <c r="D17" s="5"/>
      <c r="E17" s="5"/>
      <c r="F17" s="5"/>
      <c r="G17" s="5"/>
      <c r="H17" s="5"/>
      <c r="I17" s="5"/>
    </row>
  </sheetData>
  <conditionalFormatting sqref="C8:G8">
    <cfRule type="cellIs" priority="2" operator="equal" aboveAverage="0" equalAverage="0" bottom="0" percent="0" rank="0" text="" dxfId="0">
      <formula>"TRUE"</formula>
    </cfRule>
    <cfRule type="cellIs" priority="3" operator="equal" aboveAverage="0" equalAverage="0" bottom="0" percent="0" rank="0" text="" dxfId="1">
      <formula>"FALSE"</formula>
    </cfRule>
  </conditionalFormatting>
  <conditionalFormatting sqref="C9:G9">
    <cfRule type="cellIs" priority="4" operator="equal" aboveAverage="0" equalAverage="0" bottom="0" percent="0" rank="0" text="" dxfId="0">
      <formula>"TRUE"</formula>
    </cfRule>
    <cfRule type="cellIs" priority="5" operator="equal" aboveAverage="0" equalAverage="0" bottom="0" percent="0" rank="0" text="" dxfId="1">
      <formula>"FALSE"</formula>
    </cfRule>
  </conditionalFormatting>
  <conditionalFormatting sqref="C10:G10">
    <cfRule type="cellIs" priority="6" operator="equal" aboveAverage="0" equalAverage="0" bottom="0" percent="0" rank="0" text="" dxfId="0">
      <formula>"TRUE"</formula>
    </cfRule>
    <cfRule type="cellIs" priority="7" operator="equal" aboveAverage="0" equalAverage="0" bottom="0" percent="0" rank="0" text="" dxfId="1">
      <formula>"FALSE"</formula>
    </cfRule>
  </conditionalFormatting>
  <conditionalFormatting sqref="C11:G11">
    <cfRule type="cellIs" priority="8" operator="equal" aboveAverage="0" equalAverage="0" bottom="0" percent="0" rank="0" text="" dxfId="0">
      <formula>"TRUE"</formula>
    </cfRule>
    <cfRule type="cellIs" priority="9" operator="equal" aboveAverage="0" equalAverage="0" bottom="0" percent="0" rank="0" text="" dxfId="1">
      <formula>"FALSE"</formula>
    </cfRule>
  </conditionalFormatting>
  <conditionalFormatting sqref="C12:G12">
    <cfRule type="cellIs" priority="10" operator="equal" aboveAverage="0" equalAverage="0" bottom="0" percent="0" rank="0" text="" dxfId="0">
      <formula>"TRUE"</formula>
    </cfRule>
    <cfRule type="cellIs" priority="11" operator="equal" aboveAverage="0" equalAverage="0" bottom="0" percent="0" rank="0" text="" dxfId="1">
      <formula>"FALSE"</formula>
    </cfRule>
  </conditionalFormatting>
  <conditionalFormatting sqref="C13:G13">
    <cfRule type="cellIs" priority="12" operator="equal" aboveAverage="0" equalAverage="0" bottom="0" percent="0" rank="0" text="" dxfId="0">
      <formula>"TRUE"</formula>
    </cfRule>
    <cfRule type="cellIs" priority="13" operator="equal" aboveAverage="0" equalAverage="0" bottom="0" percent="0" rank="0" text="" dxfId="1">
      <formula>"FALSE"</formula>
    </cfRule>
  </conditionalFormatting>
  <conditionalFormatting sqref="C14:G14">
    <cfRule type="cellIs" priority="14" operator="equal" aboveAverage="0" equalAverage="0" bottom="0" percent="0" rank="0" text="" dxfId="0">
      <formula>"TRUE"</formula>
    </cfRule>
    <cfRule type="cellIs" priority="15" operator="equal" aboveAverage="0" equalAverage="0" bottom="0" percent="0" rank="0" text="" dxfId="1">
      <formula>"FALSE"</formula>
    </cfRule>
  </conditionalFormatting>
  <conditionalFormatting sqref="C15:G15">
    <cfRule type="cellIs" priority="16" operator="equal" aboveAverage="0" equalAverage="0" bottom="0" percent="0" rank="0" text="" dxfId="0">
      <formula>"TRUE"</formula>
    </cfRule>
    <cfRule type="cellIs" priority="17" operator="equal" aboveAverage="0" equalAverage="0" bottom="0" percent="0" rank="0" text="" dxfId="1">
      <formula>"FALSE"</formula>
    </cfRule>
  </conditionalFormatting>
  <conditionalFormatting sqref="C16:G16">
    <cfRule type="cellIs" priority="18" operator="equal" aboveAverage="0" equalAverage="0" bottom="0" percent="0" rank="0" text="" dxfId="0">
      <formula>"TRUE"</formula>
    </cfRule>
    <cfRule type="cellIs" priority="19" operator="equal" aboveAverage="0" equalAverage="0" bottom="0" percent="0" rank="0" text="" dxfId="1">
      <formula>"FALSE"</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13" t="s">
        <v>13</v>
      </c>
    </row>
    <row r="3" customFormat="false" ht="3.75" hidden="false" customHeight="true" outlineLevel="0" collapsed="false">
      <c r="A3" s="5"/>
      <c r="B3" s="14"/>
    </row>
    <row r="4" customFormat="false" ht="15" hidden="false" customHeight="false" outlineLevel="0" collapsed="false">
      <c r="A4" s="5"/>
      <c r="B4" s="5"/>
    </row>
    <row r="5" customFormat="false" ht="19.5" hidden="false" customHeight="true" outlineLevel="0" collapsed="false">
      <c r="A5" s="5"/>
      <c r="B5" s="15" t="s">
        <v>14</v>
      </c>
    </row>
    <row r="6" customFormat="false" ht="48" hidden="false" customHeight="true" outlineLevel="0" collapsed="false">
      <c r="A6" s="5"/>
      <c r="B6" s="16" t="s">
        <v>15</v>
      </c>
    </row>
    <row r="7" customFormat="false" ht="15" hidden="false" customHeight="false" outlineLevel="0" collapsed="false">
      <c r="A7" s="5"/>
      <c r="B7" s="5"/>
    </row>
    <row r="8" customFormat="false" ht="19.5" hidden="false" customHeight="true" outlineLevel="0" collapsed="false">
      <c r="A8" s="5"/>
      <c r="B8" s="15" t="s">
        <v>16</v>
      </c>
    </row>
    <row r="9" customFormat="false" ht="61.5" hidden="false" customHeight="true" outlineLevel="0" collapsed="false">
      <c r="A9" s="5"/>
      <c r="B9" s="16" t="s">
        <v>17</v>
      </c>
    </row>
    <row r="10" customFormat="false" ht="15" hidden="false" customHeight="false" outlineLevel="0" collapsed="false">
      <c r="A10" s="5"/>
      <c r="B10" s="5"/>
    </row>
    <row r="11" customFormat="false" ht="19.5" hidden="false" customHeight="true" outlineLevel="0" collapsed="false">
      <c r="A11" s="5"/>
      <c r="B11" s="15" t="s">
        <v>18</v>
      </c>
    </row>
    <row r="12" customFormat="false" ht="75.75" hidden="false" customHeight="true" outlineLevel="0" collapsed="false">
      <c r="A12" s="5"/>
      <c r="B12" s="16" t="s">
        <v>19</v>
      </c>
    </row>
    <row r="13" customFormat="false" ht="15" hidden="false" customHeight="false" outlineLevel="0" collapsed="false">
      <c r="A13" s="5"/>
      <c r="B13" s="5"/>
    </row>
    <row r="14" customFormat="false" ht="19.5" hidden="false" customHeight="true" outlineLevel="0" collapsed="false">
      <c r="A14" s="5"/>
      <c r="B14" s="15" t="s">
        <v>20</v>
      </c>
    </row>
    <row r="15" customFormat="false" ht="61.5" hidden="false" customHeight="true" outlineLevel="0" collapsed="false">
      <c r="A15" s="5"/>
      <c r="B15" s="16" t="s">
        <v>21</v>
      </c>
    </row>
    <row r="16" customFormat="false" ht="15" hidden="false" customHeight="false" outlineLevel="0" collapsed="false">
      <c r="A16" s="5"/>
      <c r="B16" s="5"/>
    </row>
    <row r="17" customFormat="false" ht="19.5" hidden="false" customHeight="true" outlineLevel="0" collapsed="false">
      <c r="A17" s="5"/>
      <c r="B17" s="15" t="s">
        <v>22</v>
      </c>
    </row>
    <row r="18" customFormat="false" ht="33.75" hidden="false" customHeight="true" outlineLevel="0" collapsed="false">
      <c r="A18" s="5"/>
      <c r="B18" s="16" t="s">
        <v>23</v>
      </c>
    </row>
    <row r="19" customFormat="false" ht="15" hidden="false" customHeight="false" outlineLevel="0" collapsed="false">
      <c r="A19" s="5"/>
      <c r="B19" s="5"/>
    </row>
    <row r="20" customFormat="false" ht="19.5" hidden="false" customHeight="true" outlineLevel="0" collapsed="false">
      <c r="A20" s="5"/>
      <c r="B20" s="15" t="s">
        <v>24</v>
      </c>
    </row>
    <row r="21" customFormat="false" ht="33.75" hidden="false" customHeight="true" outlineLevel="0" collapsed="false">
      <c r="A21" s="5"/>
      <c r="B21" s="16" t="s">
        <v>25</v>
      </c>
    </row>
    <row r="22" customFormat="false" ht="15" hidden="false" customHeight="false" outlineLevel="0" collapsed="false">
      <c r="A22" s="5"/>
      <c r="B22" s="5"/>
    </row>
    <row r="23" customFormat="false" ht="21.75" hidden="false" customHeight="true" outlineLevel="0" collapsed="false">
      <c r="A23" s="5"/>
      <c r="B23" s="17" t="s">
        <v>26</v>
      </c>
    </row>
    <row r="24" customFormat="false" ht="15" hidden="false" customHeight="false" outlineLevel="0" collapsed="false">
      <c r="A24" s="5"/>
      <c r="B24" s="5"/>
    </row>
    <row r="25" customFormat="false" ht="18" hidden="false" customHeight="true" outlineLevel="0" collapsed="false">
      <c r="A25" s="5"/>
      <c r="B25" s="18" t="s">
        <v>27</v>
      </c>
    </row>
    <row r="26" customFormat="false" ht="201.75" hidden="false" customHeight="true" outlineLevel="0" collapsed="false">
      <c r="A26" s="5"/>
      <c r="B26" s="19" t="s">
        <v>28</v>
      </c>
    </row>
    <row r="27" customFormat="false" ht="15" hidden="false" customHeight="false" outlineLevel="0" collapsed="false">
      <c r="A27" s="5"/>
      <c r="B27" s="5"/>
    </row>
    <row r="28" customFormat="false" ht="18" hidden="false" customHeight="true" outlineLevel="0" collapsed="false">
      <c r="A28" s="5"/>
      <c r="B28" s="20" t="s">
        <v>29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6E4F0"/>
    <pageSetUpPr fitToPage="false"/>
  </sheetPr>
  <dimension ref="A1:I6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30</v>
      </c>
      <c r="C2" s="5"/>
      <c r="D2" s="5"/>
      <c r="E2" s="5"/>
      <c r="F2" s="5"/>
      <c r="G2" s="5"/>
      <c r="H2" s="5"/>
      <c r="I2" s="5"/>
    </row>
    <row r="3" customFormat="false" ht="15" hidden="false" customHeight="false" outlineLevel="0" collapsed="false">
      <c r="A3" s="5"/>
      <c r="B3" s="21" t="s">
        <v>31</v>
      </c>
      <c r="C3" s="5"/>
      <c r="D3" s="5"/>
      <c r="E3" s="5"/>
      <c r="F3" s="5"/>
      <c r="G3" s="5"/>
      <c r="H3" s="5"/>
      <c r="I3" s="5"/>
    </row>
    <row r="4" customFormat="false" ht="15" hidden="false" customHeight="false" outlineLevel="0" collapsed="false">
      <c r="A4" s="5"/>
      <c r="B4" s="22" t="s">
        <v>32</v>
      </c>
      <c r="C4" s="22" t="s">
        <v>33</v>
      </c>
      <c r="D4" s="22" t="s">
        <v>34</v>
      </c>
      <c r="E4" s="22" t="s">
        <v>35</v>
      </c>
      <c r="F4" s="5"/>
      <c r="G4" s="5"/>
      <c r="H4" s="5"/>
      <c r="I4" s="5"/>
    </row>
    <row r="5" customFormat="false" ht="15" hidden="false" customHeight="false" outlineLevel="0" collapsed="false">
      <c r="A5" s="5"/>
      <c r="B5" s="21" t="s">
        <v>36</v>
      </c>
      <c r="C5" s="5"/>
      <c r="D5" s="5"/>
      <c r="E5" s="5"/>
      <c r="F5" s="5"/>
      <c r="G5" s="5"/>
      <c r="H5" s="5"/>
      <c r="I5" s="5"/>
    </row>
    <row r="6" customFormat="false" ht="15" hidden="false" customHeight="false" outlineLevel="0" collapsed="false">
      <c r="A6" s="5"/>
      <c r="B6" s="23" t="s">
        <v>37</v>
      </c>
      <c r="C6" s="24"/>
      <c r="D6" s="24"/>
      <c r="E6" s="24"/>
      <c r="F6" s="24"/>
      <c r="G6" s="24"/>
      <c r="H6" s="24"/>
      <c r="I6" s="24"/>
    </row>
    <row r="7" customFormat="false" ht="15" hidden="false" customHeight="false" outlineLevel="0" collapsed="false">
      <c r="A7" s="5"/>
      <c r="B7" s="7" t="s">
        <v>38</v>
      </c>
      <c r="C7" s="25" t="n">
        <v>2026</v>
      </c>
      <c r="D7" s="26" t="s">
        <v>39</v>
      </c>
      <c r="E7" s="27"/>
      <c r="F7" s="5"/>
      <c r="G7" s="5"/>
      <c r="H7" s="5"/>
      <c r="I7" s="5"/>
    </row>
    <row r="8" customFormat="false" ht="15" hidden="false" customHeight="false" outlineLevel="0" collapsed="false">
      <c r="A8" s="5"/>
      <c r="B8" s="23" t="s">
        <v>40</v>
      </c>
      <c r="C8" s="24"/>
      <c r="D8" s="24"/>
      <c r="E8" s="24"/>
      <c r="F8" s="24"/>
      <c r="G8" s="24"/>
      <c r="H8" s="24"/>
      <c r="I8" s="24"/>
    </row>
    <row r="9" customFormat="false" ht="15" hidden="false" customHeight="false" outlineLevel="0" collapsed="false">
      <c r="A9" s="5"/>
      <c r="B9" s="7" t="s">
        <v>41</v>
      </c>
      <c r="C9" s="25" t="n">
        <v>50000000</v>
      </c>
      <c r="D9" s="26" t="s">
        <v>42</v>
      </c>
      <c r="E9" s="27" t="s">
        <v>43</v>
      </c>
      <c r="F9" s="5"/>
      <c r="G9" s="5"/>
      <c r="H9" s="5"/>
      <c r="I9" s="5"/>
    </row>
    <row r="10" customFormat="false" ht="15" hidden="false" customHeight="false" outlineLevel="0" collapsed="false">
      <c r="A10" s="5"/>
      <c r="B10" s="7" t="s">
        <v>44</v>
      </c>
      <c r="C10" s="28" t="n">
        <v>1</v>
      </c>
      <c r="D10" s="26" t="s">
        <v>45</v>
      </c>
      <c r="E10" s="27" t="s">
        <v>46</v>
      </c>
      <c r="F10" s="5"/>
      <c r="G10" s="5"/>
      <c r="H10" s="5"/>
      <c r="I10" s="5"/>
    </row>
    <row r="11" customFormat="false" ht="15" hidden="false" customHeight="false" outlineLevel="0" collapsed="false">
      <c r="A11" s="5"/>
      <c r="B11" s="7" t="s">
        <v>47</v>
      </c>
      <c r="C11" s="28" t="n">
        <v>0.8</v>
      </c>
      <c r="D11" s="26" t="s">
        <v>45</v>
      </c>
      <c r="E11" s="27"/>
      <c r="F11" s="5"/>
      <c r="G11" s="5"/>
      <c r="H11" s="5"/>
      <c r="I11" s="5"/>
    </row>
    <row r="12" customFormat="false" ht="15" hidden="false" customHeight="false" outlineLevel="0" collapsed="false">
      <c r="A12" s="5"/>
      <c r="B12" s="7" t="s">
        <v>48</v>
      </c>
      <c r="C12" s="28" t="n">
        <v>0.6</v>
      </c>
      <c r="D12" s="26" t="s">
        <v>45</v>
      </c>
      <c r="E12" s="27"/>
      <c r="F12" s="5"/>
      <c r="G12" s="5"/>
      <c r="H12" s="5"/>
      <c r="I12" s="5"/>
    </row>
    <row r="13" customFormat="false" ht="15" hidden="false" customHeight="false" outlineLevel="0" collapsed="false">
      <c r="A13" s="5"/>
      <c r="B13" s="7" t="s">
        <v>49</v>
      </c>
      <c r="C13" s="28" t="n">
        <v>0.4</v>
      </c>
      <c r="D13" s="26" t="s">
        <v>45</v>
      </c>
      <c r="E13" s="27"/>
      <c r="F13" s="5"/>
      <c r="G13" s="5"/>
      <c r="H13" s="5"/>
      <c r="I13" s="5"/>
    </row>
    <row r="14" customFormat="false" ht="15" hidden="false" customHeight="false" outlineLevel="0" collapsed="false">
      <c r="A14" s="5"/>
      <c r="B14" s="7" t="s">
        <v>50</v>
      </c>
      <c r="C14" s="28" t="n">
        <v>0.25</v>
      </c>
      <c r="D14" s="26" t="s">
        <v>45</v>
      </c>
      <c r="E14" s="27"/>
      <c r="F14" s="5"/>
      <c r="G14" s="5"/>
      <c r="H14" s="5"/>
      <c r="I14" s="5"/>
    </row>
    <row r="15" customFormat="false" ht="15" hidden="false" customHeight="false" outlineLevel="0" collapsed="false">
      <c r="A15" s="5"/>
      <c r="B15" s="7" t="s">
        <v>51</v>
      </c>
      <c r="C15" s="29" t="n">
        <v>1.1</v>
      </c>
      <c r="D15" s="26" t="s">
        <v>45</v>
      </c>
      <c r="E15" s="27" t="s">
        <v>52</v>
      </c>
      <c r="F15" s="5"/>
      <c r="G15" s="5"/>
      <c r="H15" s="5"/>
      <c r="I15" s="5"/>
    </row>
    <row r="16" customFormat="false" ht="15" hidden="false" customHeight="false" outlineLevel="0" collapsed="false">
      <c r="A16" s="5"/>
      <c r="B16" s="7" t="s">
        <v>53</v>
      </c>
      <c r="C16" s="28" t="n">
        <v>0.6</v>
      </c>
      <c r="D16" s="26" t="s">
        <v>45</v>
      </c>
      <c r="E16" s="27" t="s">
        <v>54</v>
      </c>
      <c r="F16" s="5"/>
      <c r="G16" s="5"/>
      <c r="H16" s="5"/>
      <c r="I16" s="5"/>
    </row>
    <row r="17" customFormat="false" ht="15" hidden="false" customHeight="false" outlineLevel="0" collapsed="false">
      <c r="A17" s="5"/>
      <c r="B17" s="23" t="s">
        <v>55</v>
      </c>
      <c r="C17" s="24"/>
      <c r="D17" s="24"/>
      <c r="E17" s="24"/>
      <c r="F17" s="24"/>
      <c r="G17" s="24"/>
      <c r="H17" s="24"/>
      <c r="I17" s="24"/>
    </row>
    <row r="18" customFormat="false" ht="15" hidden="false" customHeight="false" outlineLevel="0" collapsed="false">
      <c r="A18" s="5"/>
      <c r="B18" s="7" t="s">
        <v>56</v>
      </c>
      <c r="C18" s="28" t="n">
        <v>0.045</v>
      </c>
      <c r="D18" s="26" t="s">
        <v>45</v>
      </c>
      <c r="E18" s="27" t="s">
        <v>57</v>
      </c>
      <c r="F18" s="5"/>
      <c r="G18" s="5"/>
      <c r="H18" s="5"/>
      <c r="I18" s="5"/>
    </row>
    <row r="19" customFormat="false" ht="15" hidden="false" customHeight="false" outlineLevel="0" collapsed="false">
      <c r="A19" s="5"/>
      <c r="B19" s="7" t="s">
        <v>58</v>
      </c>
      <c r="C19" s="28" t="n">
        <v>0.043</v>
      </c>
      <c r="D19" s="26" t="s">
        <v>45</v>
      </c>
      <c r="E19" s="27"/>
      <c r="F19" s="5"/>
      <c r="G19" s="5"/>
      <c r="H19" s="5"/>
      <c r="I19" s="5"/>
    </row>
    <row r="20" customFormat="false" ht="15" hidden="false" customHeight="false" outlineLevel="0" collapsed="false">
      <c r="A20" s="5"/>
      <c r="B20" s="7" t="s">
        <v>59</v>
      </c>
      <c r="C20" s="28" t="n">
        <v>0.04</v>
      </c>
      <c r="D20" s="26" t="s">
        <v>45</v>
      </c>
      <c r="E20" s="27"/>
      <c r="F20" s="5"/>
      <c r="G20" s="5"/>
      <c r="H20" s="5"/>
      <c r="I20" s="5"/>
    </row>
    <row r="21" customFormat="false" ht="15" hidden="false" customHeight="false" outlineLevel="0" collapsed="false">
      <c r="A21" s="5"/>
      <c r="B21" s="7" t="s">
        <v>60</v>
      </c>
      <c r="C21" s="28" t="n">
        <v>0.038</v>
      </c>
      <c r="D21" s="26" t="s">
        <v>45</v>
      </c>
      <c r="E21" s="27"/>
      <c r="F21" s="5"/>
      <c r="G21" s="5"/>
      <c r="H21" s="5"/>
      <c r="I21" s="5"/>
    </row>
    <row r="22" customFormat="false" ht="15" hidden="false" customHeight="false" outlineLevel="0" collapsed="false">
      <c r="A22" s="5"/>
      <c r="B22" s="7" t="s">
        <v>61</v>
      </c>
      <c r="C22" s="28" t="n">
        <v>0.035</v>
      </c>
      <c r="D22" s="26" t="s">
        <v>45</v>
      </c>
      <c r="E22" s="27"/>
      <c r="F22" s="5"/>
      <c r="G22" s="5"/>
      <c r="H22" s="5"/>
      <c r="I22" s="5"/>
    </row>
    <row r="23" customFormat="false" ht="15" hidden="false" customHeight="false" outlineLevel="0" collapsed="false">
      <c r="A23" s="5"/>
      <c r="B23" s="7" t="s">
        <v>62</v>
      </c>
      <c r="C23" s="28" t="n">
        <v>0.0005</v>
      </c>
      <c r="D23" s="26" t="s">
        <v>45</v>
      </c>
      <c r="E23" s="27" t="s">
        <v>63</v>
      </c>
      <c r="F23" s="5"/>
      <c r="G23" s="5"/>
      <c r="H23" s="5"/>
      <c r="I23" s="5"/>
    </row>
    <row r="24" customFormat="false" ht="15" hidden="false" customHeight="false" outlineLevel="0" collapsed="false">
      <c r="A24" s="5"/>
      <c r="B24" s="7" t="s">
        <v>64</v>
      </c>
      <c r="C24" s="28" t="n">
        <v>0.0005</v>
      </c>
      <c r="D24" s="26" t="s">
        <v>45</v>
      </c>
      <c r="E24" s="27" t="s">
        <v>63</v>
      </c>
      <c r="F24" s="5"/>
      <c r="G24" s="5"/>
      <c r="H24" s="5"/>
      <c r="I24" s="5"/>
    </row>
    <row r="25" customFormat="false" ht="15" hidden="false" customHeight="false" outlineLevel="0" collapsed="false">
      <c r="A25" s="5"/>
      <c r="B25" s="7" t="s">
        <v>65</v>
      </c>
      <c r="C25" s="28" t="n">
        <v>0.005</v>
      </c>
      <c r="D25" s="26" t="s">
        <v>45</v>
      </c>
      <c r="E25" s="27" t="s">
        <v>66</v>
      </c>
      <c r="F25" s="5"/>
      <c r="G25" s="5"/>
      <c r="H25" s="5"/>
      <c r="I25" s="5"/>
    </row>
    <row r="26" customFormat="false" ht="15" hidden="false" customHeight="false" outlineLevel="0" collapsed="false">
      <c r="A26" s="5"/>
      <c r="B26" s="7" t="s">
        <v>67</v>
      </c>
      <c r="C26" s="28" t="n">
        <v>0.1</v>
      </c>
      <c r="D26" s="26" t="s">
        <v>45</v>
      </c>
      <c r="E26" s="27" t="s">
        <v>68</v>
      </c>
      <c r="F26" s="5"/>
      <c r="G26" s="5"/>
      <c r="H26" s="5"/>
      <c r="I26" s="5"/>
    </row>
    <row r="27" customFormat="false" ht="15" hidden="false" customHeight="false" outlineLevel="0" collapsed="false">
      <c r="A27" s="5"/>
      <c r="B27" s="7" t="s">
        <v>69</v>
      </c>
      <c r="C27" s="28" t="n">
        <v>0.5</v>
      </c>
      <c r="D27" s="26" t="s">
        <v>45</v>
      </c>
      <c r="E27" s="27" t="s">
        <v>70</v>
      </c>
      <c r="F27" s="5"/>
      <c r="G27" s="5"/>
      <c r="H27" s="5"/>
      <c r="I27" s="5"/>
    </row>
    <row r="28" customFormat="false" ht="15" hidden="false" customHeight="false" outlineLevel="0" collapsed="false">
      <c r="A28" s="5"/>
      <c r="B28" s="23" t="s">
        <v>71</v>
      </c>
      <c r="C28" s="24"/>
      <c r="D28" s="24"/>
      <c r="E28" s="24"/>
      <c r="F28" s="24"/>
      <c r="G28" s="24"/>
      <c r="H28" s="24"/>
      <c r="I28" s="24"/>
    </row>
    <row r="29" customFormat="false" ht="15" hidden="false" customHeight="false" outlineLevel="0" collapsed="false">
      <c r="A29" s="5"/>
      <c r="B29" s="7" t="s">
        <v>72</v>
      </c>
      <c r="C29" s="28" t="n">
        <v>0.04</v>
      </c>
      <c r="D29" s="26" t="s">
        <v>45</v>
      </c>
      <c r="E29" s="27" t="s">
        <v>73</v>
      </c>
      <c r="F29" s="5"/>
      <c r="G29" s="5"/>
      <c r="H29" s="5"/>
      <c r="I29" s="5"/>
    </row>
    <row r="30" customFormat="false" ht="15" hidden="false" customHeight="false" outlineLevel="0" collapsed="false">
      <c r="A30" s="5"/>
      <c r="B30" s="7" t="s">
        <v>74</v>
      </c>
      <c r="C30" s="25" t="n">
        <v>1200000</v>
      </c>
      <c r="D30" s="26" t="s">
        <v>42</v>
      </c>
      <c r="E30" s="27" t="s">
        <v>75</v>
      </c>
      <c r="F30" s="5"/>
      <c r="G30" s="5"/>
      <c r="H30" s="5"/>
      <c r="I30" s="5"/>
    </row>
    <row r="31" customFormat="false" ht="15" hidden="false" customHeight="false" outlineLevel="0" collapsed="false">
      <c r="A31" s="5"/>
      <c r="B31" s="7" t="s">
        <v>76</v>
      </c>
      <c r="C31" s="28" t="n">
        <v>0.15</v>
      </c>
      <c r="D31" s="26" t="s">
        <v>45</v>
      </c>
      <c r="E31" s="27" t="s">
        <v>77</v>
      </c>
      <c r="F31" s="5"/>
      <c r="G31" s="5"/>
      <c r="H31" s="5"/>
      <c r="I31" s="5"/>
    </row>
    <row r="32" customFormat="false" ht="15" hidden="false" customHeight="false" outlineLevel="0" collapsed="false">
      <c r="A32" s="5"/>
      <c r="B32" s="7" t="s">
        <v>78</v>
      </c>
      <c r="C32" s="25" t="n">
        <v>400000</v>
      </c>
      <c r="D32" s="26" t="s">
        <v>42</v>
      </c>
      <c r="E32" s="27"/>
      <c r="F32" s="5"/>
      <c r="G32" s="5"/>
      <c r="H32" s="5"/>
      <c r="I32" s="5"/>
    </row>
    <row r="33" customFormat="false" ht="15" hidden="false" customHeight="false" outlineLevel="0" collapsed="false">
      <c r="A33" s="5"/>
      <c r="B33" s="7" t="s">
        <v>79</v>
      </c>
      <c r="C33" s="28" t="n">
        <v>0.05</v>
      </c>
      <c r="D33" s="26" t="s">
        <v>45</v>
      </c>
      <c r="E33" s="27"/>
      <c r="F33" s="5"/>
      <c r="G33" s="5"/>
      <c r="H33" s="5"/>
      <c r="I33" s="5"/>
    </row>
    <row r="34" customFormat="false" ht="15" hidden="false" customHeight="false" outlineLevel="0" collapsed="false">
      <c r="A34" s="5"/>
      <c r="B34" s="7" t="s">
        <v>80</v>
      </c>
      <c r="C34" s="25" t="n">
        <v>300000</v>
      </c>
      <c r="D34" s="26" t="s">
        <v>42</v>
      </c>
      <c r="E34" s="27"/>
      <c r="F34" s="5"/>
      <c r="G34" s="5"/>
      <c r="H34" s="5"/>
      <c r="I34" s="5"/>
    </row>
    <row r="35" customFormat="false" ht="15" hidden="false" customHeight="false" outlineLevel="0" collapsed="false">
      <c r="A35" s="5"/>
      <c r="B35" s="7" t="s">
        <v>81</v>
      </c>
      <c r="C35" s="28" t="n">
        <v>0.1</v>
      </c>
      <c r="D35" s="26" t="s">
        <v>45</v>
      </c>
      <c r="E35" s="27"/>
      <c r="F35" s="5"/>
      <c r="G35" s="5"/>
      <c r="H35" s="5"/>
      <c r="I35" s="5"/>
    </row>
    <row r="36" customFormat="false" ht="15" hidden="false" customHeight="false" outlineLevel="0" collapsed="false">
      <c r="A36" s="5"/>
      <c r="B36" s="7" t="s">
        <v>82</v>
      </c>
      <c r="C36" s="28" t="n">
        <v>0.05</v>
      </c>
      <c r="D36" s="26" t="s">
        <v>45</v>
      </c>
      <c r="E36" s="27" t="s">
        <v>83</v>
      </c>
      <c r="F36" s="5"/>
      <c r="G36" s="5"/>
      <c r="H36" s="5"/>
      <c r="I36" s="5"/>
    </row>
    <row r="37" customFormat="false" ht="15" hidden="false" customHeight="false" outlineLevel="0" collapsed="false">
      <c r="A37" s="5"/>
      <c r="B37" s="7" t="s">
        <v>84</v>
      </c>
      <c r="C37" s="25" t="n">
        <v>200000</v>
      </c>
      <c r="D37" s="26" t="s">
        <v>42</v>
      </c>
      <c r="E37" s="27"/>
      <c r="F37" s="5"/>
      <c r="G37" s="5"/>
      <c r="H37" s="5"/>
      <c r="I37" s="5"/>
    </row>
    <row r="38" customFormat="false" ht="15" hidden="false" customHeight="false" outlineLevel="0" collapsed="false">
      <c r="A38" s="5"/>
      <c r="B38" s="7" t="s">
        <v>85</v>
      </c>
      <c r="C38" s="28" t="n">
        <v>0.08</v>
      </c>
      <c r="D38" s="26" t="s">
        <v>45</v>
      </c>
      <c r="E38" s="27"/>
      <c r="F38" s="5"/>
      <c r="G38" s="5"/>
      <c r="H38" s="5"/>
      <c r="I38" s="5"/>
    </row>
    <row r="39" customFormat="false" ht="15" hidden="false" customHeight="false" outlineLevel="0" collapsed="false">
      <c r="A39" s="5"/>
      <c r="B39" s="23" t="s">
        <v>86</v>
      </c>
      <c r="C39" s="24"/>
      <c r="D39" s="24"/>
      <c r="E39" s="24"/>
      <c r="F39" s="24"/>
      <c r="G39" s="24"/>
      <c r="H39" s="24"/>
      <c r="I39" s="24"/>
    </row>
    <row r="40" customFormat="false" ht="15" hidden="false" customHeight="false" outlineLevel="0" collapsed="false">
      <c r="A40" s="5"/>
      <c r="B40" s="7" t="s">
        <v>87</v>
      </c>
      <c r="C40" s="25" t="n">
        <v>1000000000</v>
      </c>
      <c r="D40" s="26" t="s">
        <v>88</v>
      </c>
      <c r="E40" s="27" t="s">
        <v>89</v>
      </c>
      <c r="F40" s="5"/>
      <c r="G40" s="5"/>
      <c r="H40" s="5"/>
      <c r="I40" s="5"/>
    </row>
    <row r="41" customFormat="false" ht="15" hidden="false" customHeight="false" outlineLevel="0" collapsed="false">
      <c r="A41" s="5"/>
      <c r="B41" s="7" t="s">
        <v>90</v>
      </c>
      <c r="C41" s="30" t="n">
        <v>0.1</v>
      </c>
      <c r="D41" s="26" t="s">
        <v>42</v>
      </c>
      <c r="E41" s="27"/>
      <c r="F41" s="5"/>
      <c r="G41" s="5"/>
      <c r="H41" s="5"/>
      <c r="I41" s="5"/>
    </row>
    <row r="42" customFormat="false" ht="15" hidden="false" customHeight="false" outlineLevel="0" collapsed="false">
      <c r="A42" s="5"/>
      <c r="B42" s="7" t="s">
        <v>91</v>
      </c>
      <c r="C42" s="28" t="n">
        <v>0.3</v>
      </c>
      <c r="D42" s="26" t="s">
        <v>45</v>
      </c>
      <c r="E42" s="27" t="s">
        <v>92</v>
      </c>
      <c r="F42" s="5"/>
      <c r="G42" s="5"/>
      <c r="H42" s="5"/>
      <c r="I42" s="5"/>
    </row>
    <row r="43" customFormat="false" ht="15" hidden="false" customHeight="false" outlineLevel="0" collapsed="false">
      <c r="A43" s="5"/>
      <c r="B43" s="7" t="s">
        <v>93</v>
      </c>
      <c r="C43" s="28" t="n">
        <v>0.2</v>
      </c>
      <c r="D43" s="26" t="s">
        <v>45</v>
      </c>
      <c r="E43" s="27" t="s">
        <v>94</v>
      </c>
      <c r="F43" s="5"/>
      <c r="G43" s="5"/>
      <c r="H43" s="5"/>
      <c r="I43" s="5"/>
    </row>
    <row r="44" customFormat="false" ht="15" hidden="false" customHeight="false" outlineLevel="0" collapsed="false">
      <c r="A44" s="5"/>
      <c r="B44" s="7" t="s">
        <v>95</v>
      </c>
      <c r="C44" s="28" t="n">
        <v>0.4</v>
      </c>
      <c r="D44" s="26" t="s">
        <v>45</v>
      </c>
      <c r="E44" s="27" t="s">
        <v>96</v>
      </c>
      <c r="F44" s="5"/>
      <c r="G44" s="5"/>
      <c r="H44" s="5"/>
      <c r="I44" s="5"/>
    </row>
    <row r="45" customFormat="false" ht="15" hidden="false" customHeight="false" outlineLevel="0" collapsed="false">
      <c r="A45" s="5"/>
      <c r="B45" s="7" t="s">
        <v>97</v>
      </c>
      <c r="C45" s="28" t="n">
        <v>0.08</v>
      </c>
      <c r="D45" s="26" t="s">
        <v>45</v>
      </c>
      <c r="E45" s="27" t="s">
        <v>98</v>
      </c>
      <c r="F45" s="5"/>
      <c r="G45" s="5"/>
      <c r="H45" s="5"/>
      <c r="I45" s="5"/>
    </row>
    <row r="46" customFormat="false" ht="15" hidden="false" customHeight="false" outlineLevel="0" collapsed="false">
      <c r="A46" s="5"/>
      <c r="B46" s="7" t="s">
        <v>99</v>
      </c>
      <c r="C46" s="28" t="n">
        <v>0.4</v>
      </c>
      <c r="D46" s="26" t="s">
        <v>45</v>
      </c>
      <c r="E46" s="27" t="s">
        <v>100</v>
      </c>
      <c r="F46" s="5"/>
      <c r="G46" s="5"/>
      <c r="H46" s="5"/>
      <c r="I46" s="5"/>
    </row>
    <row r="47" customFormat="false" ht="15" hidden="false" customHeight="false" outlineLevel="0" collapsed="false">
      <c r="A47" s="5"/>
      <c r="B47" s="7" t="s">
        <v>101</v>
      </c>
      <c r="C47" s="25" t="n">
        <v>1</v>
      </c>
      <c r="D47" s="26" t="s">
        <v>102</v>
      </c>
      <c r="E47" s="27" t="s">
        <v>103</v>
      </c>
      <c r="F47" s="5"/>
      <c r="G47" s="5"/>
      <c r="H47" s="5"/>
      <c r="I47" s="5"/>
    </row>
    <row r="48" customFormat="false" ht="15" hidden="false" customHeight="false" outlineLevel="0" collapsed="false">
      <c r="A48" s="5"/>
      <c r="B48" s="23" t="s">
        <v>104</v>
      </c>
      <c r="C48" s="24"/>
      <c r="D48" s="24"/>
      <c r="E48" s="24"/>
      <c r="F48" s="24"/>
      <c r="G48" s="24"/>
      <c r="H48" s="24"/>
      <c r="I48" s="24"/>
    </row>
    <row r="49" customFormat="false" ht="15" hidden="false" customHeight="false" outlineLevel="0" collapsed="false">
      <c r="A49" s="5"/>
      <c r="B49" s="7" t="s">
        <v>105</v>
      </c>
      <c r="C49" s="25" t="n">
        <v>20000000</v>
      </c>
      <c r="D49" s="26" t="s">
        <v>42</v>
      </c>
      <c r="E49" s="27" t="s">
        <v>106</v>
      </c>
      <c r="F49" s="5"/>
      <c r="G49" s="5"/>
      <c r="H49" s="5"/>
      <c r="I49" s="5"/>
    </row>
    <row r="50" customFormat="false" ht="15" hidden="false" customHeight="false" outlineLevel="0" collapsed="false">
      <c r="A50" s="5"/>
      <c r="B50" s="7" t="s">
        <v>107</v>
      </c>
      <c r="C50" s="25" t="n">
        <v>0</v>
      </c>
      <c r="D50" s="26" t="s">
        <v>42</v>
      </c>
      <c r="E50" s="27" t="s">
        <v>108</v>
      </c>
      <c r="F50" s="5"/>
      <c r="G50" s="5"/>
      <c r="H50" s="5"/>
      <c r="I50" s="5"/>
    </row>
    <row r="51" customFormat="false" ht="15" hidden="false" customHeight="false" outlineLevel="0" collapsed="false">
      <c r="A51" s="5"/>
      <c r="B51" s="7" t="s">
        <v>109</v>
      </c>
      <c r="C51" s="25" t="n">
        <v>0</v>
      </c>
      <c r="D51" s="26" t="s">
        <v>42</v>
      </c>
      <c r="E51" s="27" t="s">
        <v>110</v>
      </c>
      <c r="F51" s="5"/>
      <c r="G51" s="5"/>
      <c r="H51" s="5"/>
      <c r="I51" s="5"/>
    </row>
    <row r="52" customFormat="false" ht="15" hidden="false" customHeight="false" outlineLevel="0" collapsed="false">
      <c r="A52" s="5"/>
      <c r="B52" s="7" t="s">
        <v>111</v>
      </c>
      <c r="C52" s="25" t="n">
        <v>0</v>
      </c>
      <c r="D52" s="26" t="s">
        <v>42</v>
      </c>
      <c r="E52" s="27"/>
      <c r="F52" s="5"/>
      <c r="G52" s="5"/>
      <c r="H52" s="5"/>
      <c r="I52" s="5"/>
    </row>
    <row r="53" customFormat="false" ht="15" hidden="false" customHeight="false" outlineLevel="0" collapsed="false">
      <c r="A53" s="5"/>
      <c r="B53" s="7" t="s">
        <v>112</v>
      </c>
      <c r="C53" s="28" t="n">
        <v>0.12</v>
      </c>
      <c r="D53" s="26" t="s">
        <v>45</v>
      </c>
      <c r="E53" s="27" t="s">
        <v>113</v>
      </c>
      <c r="F53" s="5"/>
      <c r="G53" s="5"/>
      <c r="H53" s="5"/>
      <c r="I53" s="5"/>
    </row>
    <row r="54" customFormat="false" ht="15" hidden="false" customHeight="false" outlineLevel="0" collapsed="false">
      <c r="A54" s="5"/>
      <c r="B54" s="7" t="s">
        <v>114</v>
      </c>
      <c r="C54" s="28" t="n">
        <v>0.04</v>
      </c>
      <c r="D54" s="26" t="s">
        <v>45</v>
      </c>
      <c r="E54" s="27" t="s">
        <v>115</v>
      </c>
      <c r="F54" s="5"/>
      <c r="G54" s="5"/>
      <c r="H54" s="5"/>
      <c r="I54" s="5"/>
    </row>
    <row r="55" customFormat="false" ht="15" hidden="false" customHeight="false" outlineLevel="0" collapsed="false">
      <c r="A55" s="5"/>
      <c r="B55" s="7" t="s">
        <v>116</v>
      </c>
      <c r="C55" s="25" t="n">
        <v>7</v>
      </c>
      <c r="D55" s="26" t="s">
        <v>117</v>
      </c>
      <c r="E55" s="27" t="s">
        <v>118</v>
      </c>
      <c r="F55" s="5"/>
      <c r="G55" s="5"/>
      <c r="H55" s="5"/>
      <c r="I55" s="5"/>
    </row>
    <row r="56" customFormat="false" ht="15" hidden="false" customHeight="false" outlineLevel="0" collapsed="false">
      <c r="A56" s="5"/>
      <c r="B56" s="7" t="s">
        <v>119</v>
      </c>
      <c r="C56" s="25" t="n">
        <v>30</v>
      </c>
      <c r="D56" s="26" t="s">
        <v>117</v>
      </c>
      <c r="E56" s="27" t="s">
        <v>120</v>
      </c>
      <c r="F56" s="5"/>
      <c r="G56" s="5"/>
      <c r="H56" s="5"/>
      <c r="I56" s="5"/>
    </row>
    <row r="57" customFormat="false" ht="15" hidden="false" customHeight="false" outlineLevel="0" collapsed="false">
      <c r="A57" s="5"/>
      <c r="B57" s="7" t="s">
        <v>121</v>
      </c>
      <c r="C57" s="28" t="n">
        <v>0.1</v>
      </c>
      <c r="D57" s="26" t="s">
        <v>45</v>
      </c>
      <c r="E57" s="27" t="s">
        <v>122</v>
      </c>
      <c r="F57" s="5"/>
      <c r="G57" s="5"/>
      <c r="H57" s="5"/>
      <c r="I57" s="5"/>
    </row>
    <row r="58" customFormat="false" ht="15" hidden="false" customHeight="false" outlineLevel="0" collapsed="false">
      <c r="A58" s="5"/>
      <c r="B58" s="23" t="s">
        <v>123</v>
      </c>
      <c r="C58" s="24"/>
      <c r="D58" s="24"/>
      <c r="E58" s="24"/>
      <c r="F58" s="24"/>
      <c r="G58" s="24"/>
      <c r="H58" s="24"/>
      <c r="I58" s="24"/>
    </row>
    <row r="59" customFormat="false" ht="15" hidden="false" customHeight="false" outlineLevel="0" collapsed="false">
      <c r="A59" s="5"/>
      <c r="B59" s="7" t="s">
        <v>124</v>
      </c>
      <c r="C59" s="28" t="n">
        <v>0.23</v>
      </c>
      <c r="D59" s="26" t="s">
        <v>45</v>
      </c>
      <c r="E59" s="27" t="s">
        <v>125</v>
      </c>
      <c r="F59" s="5"/>
      <c r="G59" s="5"/>
      <c r="H59" s="5"/>
      <c r="I59" s="5"/>
    </row>
    <row r="60" customFormat="false" ht="15" hidden="false" customHeight="false" outlineLevel="0" collapsed="false">
      <c r="A60" s="5"/>
      <c r="B60" s="7" t="s">
        <v>126</v>
      </c>
      <c r="C60" s="28" t="n">
        <v>0.04</v>
      </c>
      <c r="D60" s="26" t="s">
        <v>45</v>
      </c>
      <c r="E60" s="27" t="s">
        <v>127</v>
      </c>
      <c r="F60" s="5"/>
      <c r="G60" s="5"/>
      <c r="H60" s="5"/>
      <c r="I60" s="5"/>
    </row>
    <row r="61" customFormat="false" ht="15" hidden="false" customHeight="false" outlineLevel="0" collapsed="false">
      <c r="A61" s="5"/>
      <c r="B61" s="7" t="s">
        <v>128</v>
      </c>
      <c r="C61" s="31" t="n">
        <v>15</v>
      </c>
      <c r="D61" s="26" t="s">
        <v>129</v>
      </c>
      <c r="E61" s="27" t="s">
        <v>130</v>
      </c>
      <c r="F61" s="5"/>
      <c r="G61" s="5"/>
      <c r="H61" s="5"/>
      <c r="I61"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131</v>
      </c>
      <c r="C2" s="5"/>
      <c r="D2" s="5"/>
      <c r="E2" s="5"/>
      <c r="F2" s="5"/>
      <c r="G2" s="5"/>
      <c r="H2" s="5"/>
      <c r="I2" s="5"/>
    </row>
    <row r="3" customFormat="false" ht="15" hidden="false" customHeight="false" outlineLevel="0" collapsed="false">
      <c r="A3" s="5"/>
      <c r="B3" s="21" t="s">
        <v>132</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133</v>
      </c>
      <c r="C7" s="24"/>
      <c r="D7" s="24"/>
      <c r="E7" s="24"/>
      <c r="F7" s="24"/>
      <c r="G7" s="24"/>
      <c r="H7" s="24"/>
      <c r="I7" s="24"/>
    </row>
    <row r="8" customFormat="false" ht="15" hidden="false" customHeight="false" outlineLevel="0" collapsed="false">
      <c r="A8" s="5"/>
      <c r="B8" s="7" t="s">
        <v>134</v>
      </c>
      <c r="C8" s="34" t="n">
        <f aca="false">TVL_Base</f>
        <v>50000000</v>
      </c>
      <c r="D8" s="34" t="n">
        <f aca="false">C11</f>
        <v>100000000</v>
      </c>
      <c r="E8" s="34" t="n">
        <f aca="false">D11</f>
        <v>180000000</v>
      </c>
      <c r="F8" s="34" t="n">
        <f aca="false">E11</f>
        <v>288000000</v>
      </c>
      <c r="G8" s="34" t="n">
        <f aca="false">F11</f>
        <v>403200000</v>
      </c>
      <c r="H8" s="5"/>
      <c r="I8" s="5"/>
    </row>
    <row r="9" customFormat="false" ht="15" hidden="false" customHeight="false" outlineLevel="0" collapsed="false">
      <c r="A9" s="5"/>
      <c r="B9" s="7" t="s">
        <v>135</v>
      </c>
      <c r="C9" s="35" t="n">
        <f aca="false">CHOOSE(C6,Supply_Growth_Y1,Supply_Growth_Y2,Supply_Growth_Y3,Supply_Growth_Y4,Supply_Growth_Y5)</f>
        <v>1</v>
      </c>
      <c r="D9" s="35" t="n">
        <f aca="false">CHOOSE(D6,Supply_Growth_Y1,Supply_Growth_Y2,Supply_Growth_Y3,Supply_Growth_Y4,Supply_Growth_Y5)</f>
        <v>0.8</v>
      </c>
      <c r="E9" s="35" t="n">
        <f aca="false">CHOOSE(E6,Supply_Growth_Y1,Supply_Growth_Y2,Supply_Growth_Y3,Supply_Growth_Y4,Supply_Growth_Y5)</f>
        <v>0.6</v>
      </c>
      <c r="F9" s="35" t="n">
        <f aca="false">CHOOSE(F6,Supply_Growth_Y1,Supply_Growth_Y2,Supply_Growth_Y3,Supply_Growth_Y4,Supply_Growth_Y5)</f>
        <v>0.4</v>
      </c>
      <c r="G9" s="35" t="n">
        <f aca="false">CHOOSE(G6,Supply_Growth_Y1,Supply_Growth_Y2,Supply_Growth_Y3,Supply_Growth_Y4,Supply_Growth_Y5)</f>
        <v>0.25</v>
      </c>
      <c r="H9" s="5"/>
      <c r="I9" s="5"/>
    </row>
    <row r="10" customFormat="false" ht="15" hidden="false" customHeight="false" outlineLevel="0" collapsed="false">
      <c r="A10" s="5"/>
      <c r="B10" s="7" t="s">
        <v>136</v>
      </c>
      <c r="C10" s="34" t="n">
        <f aca="false">C8*C9</f>
        <v>50000000</v>
      </c>
      <c r="D10" s="34" t="n">
        <f aca="false">D8*D9</f>
        <v>80000000</v>
      </c>
      <c r="E10" s="34" t="n">
        <f aca="false">E8*E9</f>
        <v>108000000</v>
      </c>
      <c r="F10" s="34" t="n">
        <f aca="false">F8*F9</f>
        <v>115200000</v>
      </c>
      <c r="G10" s="34" t="n">
        <f aca="false">G8*G9</f>
        <v>100800000</v>
      </c>
      <c r="H10" s="5"/>
      <c r="I10" s="5"/>
    </row>
    <row r="11" customFormat="false" ht="15" hidden="false" customHeight="false" outlineLevel="0" collapsed="false">
      <c r="A11" s="5"/>
      <c r="B11" s="36" t="s">
        <v>137</v>
      </c>
      <c r="C11" s="37" t="n">
        <f aca="false">C8+C10</f>
        <v>100000000</v>
      </c>
      <c r="D11" s="37" t="n">
        <f aca="false">D8+D10</f>
        <v>180000000</v>
      </c>
      <c r="E11" s="37" t="n">
        <f aca="false">E8+E10</f>
        <v>288000000</v>
      </c>
      <c r="F11" s="37" t="n">
        <f aca="false">F8+F10</f>
        <v>403200000</v>
      </c>
      <c r="G11" s="37" t="n">
        <f aca="false">G8+G10</f>
        <v>504000000</v>
      </c>
      <c r="H11" s="5"/>
      <c r="I11" s="5"/>
    </row>
    <row r="12" customFormat="false" ht="15" hidden="false" customHeight="false" outlineLevel="0" collapsed="false">
      <c r="A12" s="5"/>
      <c r="B12" s="7" t="s">
        <v>138</v>
      </c>
      <c r="C12" s="34" t="n">
        <f aca="false">(C8+C11)/2</f>
        <v>75000000</v>
      </c>
      <c r="D12" s="34" t="n">
        <f aca="false">(D8+D11)/2</f>
        <v>140000000</v>
      </c>
      <c r="E12" s="34" t="n">
        <f aca="false">(E8+E11)/2</f>
        <v>234000000</v>
      </c>
      <c r="F12" s="34" t="n">
        <f aca="false">(F8+F11)/2</f>
        <v>345600000</v>
      </c>
      <c r="G12" s="34" t="n">
        <f aca="false">(G8+G11)/2</f>
        <v>453600000</v>
      </c>
      <c r="H12" s="5"/>
      <c r="I12" s="5"/>
    </row>
    <row r="13" customFormat="false" ht="15" hidden="false" customHeight="false" outlineLevel="0" collapsed="false">
      <c r="A13" s="5"/>
      <c r="B13" s="23" t="s">
        <v>139</v>
      </c>
      <c r="C13" s="24"/>
      <c r="D13" s="24"/>
      <c r="E13" s="24"/>
      <c r="F13" s="24"/>
      <c r="G13" s="24"/>
      <c r="H13" s="24"/>
      <c r="I13" s="24"/>
    </row>
    <row r="14" customFormat="false" ht="15" hidden="false" customHeight="false" outlineLevel="0" collapsed="false">
      <c r="A14" s="5"/>
      <c r="B14" s="7" t="s">
        <v>140</v>
      </c>
      <c r="C14" s="34" t="n">
        <f aca="false">TVL_Base*Collat_Ratio</f>
        <v>55000000</v>
      </c>
      <c r="D14" s="34" t="n">
        <f aca="false">C16</f>
        <v>110000000</v>
      </c>
      <c r="E14" s="34" t="n">
        <f aca="false">D16</f>
        <v>198000000</v>
      </c>
      <c r="F14" s="34" t="n">
        <f aca="false">E16</f>
        <v>316800000</v>
      </c>
      <c r="G14" s="34" t="n">
        <f aca="false">F16</f>
        <v>443520000</v>
      </c>
      <c r="H14" s="5"/>
      <c r="I14" s="5"/>
    </row>
    <row r="15" customFormat="false" ht="15" hidden="false" customHeight="false" outlineLevel="0" collapsed="false">
      <c r="A15" s="5"/>
      <c r="B15" s="7" t="s">
        <v>141</v>
      </c>
      <c r="C15" s="34" t="n">
        <f aca="false">C11*Collat_Ratio-C14</f>
        <v>55000000</v>
      </c>
      <c r="D15" s="34" t="n">
        <f aca="false">D11*Collat_Ratio-D14</f>
        <v>88000000</v>
      </c>
      <c r="E15" s="34" t="n">
        <f aca="false">E11*Collat_Ratio-E14</f>
        <v>118800000</v>
      </c>
      <c r="F15" s="34" t="n">
        <f aca="false">F11*Collat_Ratio-F14</f>
        <v>126720000</v>
      </c>
      <c r="G15" s="34" t="n">
        <f aca="false">G11*Collat_Ratio-G14</f>
        <v>110880000</v>
      </c>
      <c r="H15" s="5"/>
      <c r="I15" s="5"/>
    </row>
    <row r="16" customFormat="false" ht="15" hidden="false" customHeight="false" outlineLevel="0" collapsed="false">
      <c r="A16" s="5"/>
      <c r="B16" s="36" t="s">
        <v>142</v>
      </c>
      <c r="C16" s="37" t="n">
        <f aca="false">C14+C15</f>
        <v>110000000</v>
      </c>
      <c r="D16" s="37" t="n">
        <f aca="false">D14+D15</f>
        <v>198000000</v>
      </c>
      <c r="E16" s="37" t="n">
        <f aca="false">E14+E15</f>
        <v>316800000</v>
      </c>
      <c r="F16" s="37" t="n">
        <f aca="false">F14+F15</f>
        <v>443520000</v>
      </c>
      <c r="G16" s="37" t="n">
        <f aca="false">G14+G15</f>
        <v>554400000</v>
      </c>
      <c r="H16" s="5"/>
      <c r="I16" s="5"/>
    </row>
    <row r="17" customFormat="false" ht="15" hidden="false" customHeight="false" outlineLevel="0" collapsed="false">
      <c r="A17" s="5"/>
      <c r="B17" s="7" t="s">
        <v>143</v>
      </c>
      <c r="C17" s="34" t="n">
        <f aca="false">(C14+C16)/2</f>
        <v>82500000</v>
      </c>
      <c r="D17" s="34" t="n">
        <f aca="false">(D14+D16)/2</f>
        <v>154000000</v>
      </c>
      <c r="E17" s="34" t="n">
        <f aca="false">(E14+E16)/2</f>
        <v>257400000</v>
      </c>
      <c r="F17" s="34" t="n">
        <f aca="false">(F14+F16)/2</f>
        <v>380160000</v>
      </c>
      <c r="G17" s="34" t="n">
        <f aca="false">(G14+G16)/2</f>
        <v>498960000</v>
      </c>
      <c r="H17" s="5"/>
      <c r="I17" s="5"/>
    </row>
    <row r="18" customFormat="false" ht="15" hidden="false" customHeight="false" outlineLevel="0" collapsed="false">
      <c r="A18" s="5"/>
      <c r="B18" s="23" t="s">
        <v>144</v>
      </c>
      <c r="C18" s="24"/>
      <c r="D18" s="24"/>
      <c r="E18" s="24"/>
      <c r="F18" s="24"/>
      <c r="G18" s="24"/>
      <c r="H18" s="24"/>
      <c r="I18" s="24"/>
    </row>
    <row r="19" customFormat="false" ht="15" hidden="false" customHeight="false" outlineLevel="0" collapsed="false">
      <c r="A19" s="5"/>
      <c r="B19" s="7" t="s">
        <v>145</v>
      </c>
      <c r="C19" s="34" t="n">
        <f aca="false">C12*Turnover_Rate/2</f>
        <v>22500000</v>
      </c>
      <c r="D19" s="34" t="n">
        <f aca="false">D12*Turnover_Rate/2</f>
        <v>42000000</v>
      </c>
      <c r="E19" s="34" t="n">
        <f aca="false">E12*Turnover_Rate/2</f>
        <v>70200000</v>
      </c>
      <c r="F19" s="34" t="n">
        <f aca="false">F12*Turnover_Rate/2</f>
        <v>103680000</v>
      </c>
      <c r="G19" s="34" t="n">
        <f aca="false">G12*Turnover_Rate/2</f>
        <v>136080000</v>
      </c>
      <c r="H19" s="5"/>
      <c r="I19" s="5"/>
    </row>
    <row r="20" customFormat="false" ht="15" hidden="false" customHeight="false" outlineLevel="0" collapsed="false">
      <c r="A20" s="5"/>
      <c r="B20" s="7" t="s">
        <v>146</v>
      </c>
      <c r="C20" s="34" t="n">
        <f aca="false">C10+C19</f>
        <v>72500000</v>
      </c>
      <c r="D20" s="34" t="n">
        <f aca="false">D10+D19</f>
        <v>122000000</v>
      </c>
      <c r="E20" s="34" t="n">
        <f aca="false">E10+E19</f>
        <v>178200000</v>
      </c>
      <c r="F20" s="34" t="n">
        <f aca="false">F10+F19</f>
        <v>218880000</v>
      </c>
      <c r="G20" s="34" t="n">
        <f aca="false">G10+G19</f>
        <v>236880000</v>
      </c>
      <c r="H20" s="5"/>
      <c r="I20" s="5"/>
    </row>
    <row r="21" customFormat="false" ht="15" hidden="false" customHeight="false" outlineLevel="0" collapsed="false">
      <c r="A21" s="5"/>
      <c r="B21" s="7" t="s">
        <v>147</v>
      </c>
      <c r="C21" s="34" t="n">
        <f aca="false">C19</f>
        <v>22500000</v>
      </c>
      <c r="D21" s="34" t="n">
        <f aca="false">D19</f>
        <v>42000000</v>
      </c>
      <c r="E21" s="34" t="n">
        <f aca="false">E19</f>
        <v>70200000</v>
      </c>
      <c r="F21" s="34" t="n">
        <f aca="false">F19</f>
        <v>103680000</v>
      </c>
      <c r="G21" s="34" t="n">
        <f aca="false">G19</f>
        <v>136080000</v>
      </c>
      <c r="H21" s="5"/>
      <c r="I21" s="5"/>
    </row>
    <row r="22" customFormat="false" ht="15" hidden="false" customHeight="false" outlineLevel="0" collapsed="false">
      <c r="A22" s="5"/>
      <c r="B22" s="23" t="s">
        <v>148</v>
      </c>
      <c r="C22" s="24"/>
      <c r="D22" s="24"/>
      <c r="E22" s="24"/>
      <c r="F22" s="24"/>
      <c r="G22" s="24"/>
      <c r="H22" s="24"/>
      <c r="I22" s="24"/>
    </row>
    <row r="23" customFormat="false" ht="15" hidden="false" customHeight="false" outlineLevel="0" collapsed="false">
      <c r="A23" s="5"/>
      <c r="B23" s="7" t="s">
        <v>149</v>
      </c>
      <c r="C23" s="34" t="n">
        <f aca="false">C12*Liquidation_Rate</f>
        <v>375000</v>
      </c>
      <c r="D23" s="34" t="n">
        <f aca="false">D12*Liquidation_Rate</f>
        <v>700000</v>
      </c>
      <c r="E23" s="34" t="n">
        <f aca="false">E12*Liquidation_Rate</f>
        <v>1170000</v>
      </c>
      <c r="F23" s="34" t="n">
        <f aca="false">F12*Liquidation_Rate</f>
        <v>1728000</v>
      </c>
      <c r="G23" s="34" t="n">
        <f aca="false">G12*Liquidation_Rate</f>
        <v>2268000</v>
      </c>
      <c r="H23" s="5"/>
      <c r="I2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150</v>
      </c>
      <c r="C2" s="5"/>
      <c r="D2" s="5"/>
      <c r="E2" s="5"/>
      <c r="F2" s="5"/>
      <c r="G2" s="5"/>
      <c r="H2" s="5"/>
      <c r="I2" s="5"/>
    </row>
    <row r="3" customFormat="false" ht="15" hidden="false" customHeight="false" outlineLevel="0" collapsed="false">
      <c r="A3" s="5"/>
      <c r="B3" s="21" t="s">
        <v>151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152</v>
      </c>
      <c r="C7" s="24"/>
      <c r="D7" s="24"/>
      <c r="E7" s="24"/>
      <c r="F7" s="24"/>
      <c r="G7" s="24"/>
      <c r="H7" s="24"/>
      <c r="I7" s="24"/>
    </row>
    <row r="8" customFormat="false" ht="15" hidden="false" customHeight="false" outlineLevel="0" collapsed="false">
      <c r="A8" s="5"/>
      <c r="B8" s="7" t="s">
        <v>153</v>
      </c>
      <c r="C8" s="35" t="n">
        <f aca="false">CHOOSE(C6,Reserve_Yield_Y1,Reserve_Yield_Y2,Reserve_Yield_Y3,Reserve_Yield_Y4,Reserve_Yield_Y5)</f>
        <v>0.045</v>
      </c>
      <c r="D8" s="35" t="n">
        <f aca="false">CHOOSE(D6,Reserve_Yield_Y1,Reserve_Yield_Y2,Reserve_Yield_Y3,Reserve_Yield_Y4,Reserve_Yield_Y5)</f>
        <v>0.043</v>
      </c>
      <c r="E8" s="35" t="n">
        <f aca="false">CHOOSE(E6,Reserve_Yield_Y1,Reserve_Yield_Y2,Reserve_Yield_Y3,Reserve_Yield_Y4,Reserve_Yield_Y5)</f>
        <v>0.04</v>
      </c>
      <c r="F8" s="35" t="n">
        <f aca="false">CHOOSE(F6,Reserve_Yield_Y1,Reserve_Yield_Y2,Reserve_Yield_Y3,Reserve_Yield_Y4,Reserve_Yield_Y5)</f>
        <v>0.038</v>
      </c>
      <c r="G8" s="35" t="n">
        <f aca="false">CHOOSE(G6,Reserve_Yield_Y1,Reserve_Yield_Y2,Reserve_Yield_Y3,Reserve_Yield_Y4,Reserve_Yield_Y5)</f>
        <v>0.035</v>
      </c>
      <c r="H8" s="5"/>
      <c r="I8" s="5"/>
    </row>
    <row r="9" customFormat="false" ht="15" hidden="false" customHeight="false" outlineLevel="0" collapsed="false">
      <c r="A9" s="5"/>
      <c r="B9" s="7" t="s">
        <v>154</v>
      </c>
      <c r="C9" s="34" t="n">
        <f aca="false">TVL_Reserves!C17*C8</f>
        <v>3712500</v>
      </c>
      <c r="D9" s="34" t="n">
        <f aca="false">TVL_Reserves!D17*D8</f>
        <v>6622000</v>
      </c>
      <c r="E9" s="34" t="n">
        <f aca="false">TVL_Reserves!E17*E8</f>
        <v>10296000</v>
      </c>
      <c r="F9" s="34" t="n">
        <f aca="false">TVL_Reserves!F17*F8</f>
        <v>14446080</v>
      </c>
      <c r="G9" s="34" t="n">
        <f aca="false">TVL_Reserves!G17*G8</f>
        <v>17463600</v>
      </c>
      <c r="H9" s="5"/>
      <c r="I9" s="5"/>
    </row>
    <row r="10" customFormat="false" ht="15" hidden="false" customHeight="false" outlineLevel="0" collapsed="false">
      <c r="A10" s="5"/>
      <c r="B10" s="23" t="s">
        <v>155</v>
      </c>
      <c r="C10" s="24"/>
      <c r="D10" s="24"/>
      <c r="E10" s="24"/>
      <c r="F10" s="24"/>
      <c r="G10" s="24"/>
      <c r="H10" s="24"/>
      <c r="I10" s="24"/>
    </row>
    <row r="11" customFormat="false" ht="15" hidden="false" customHeight="false" outlineLevel="0" collapsed="false">
      <c r="A11" s="5"/>
      <c r="B11" s="7" t="s">
        <v>156</v>
      </c>
      <c r="C11" s="34" t="n">
        <f aca="false">TVL_Reserves!C20*Mint_Fee_Rate</f>
        <v>36250</v>
      </c>
      <c r="D11" s="34" t="n">
        <f aca="false">TVL_Reserves!D20*Mint_Fee_Rate</f>
        <v>61000</v>
      </c>
      <c r="E11" s="34" t="n">
        <f aca="false">TVL_Reserves!E20*Mint_Fee_Rate</f>
        <v>89100</v>
      </c>
      <c r="F11" s="34" t="n">
        <f aca="false">TVL_Reserves!F20*Mint_Fee_Rate</f>
        <v>109440</v>
      </c>
      <c r="G11" s="34" t="n">
        <f aca="false">TVL_Reserves!G20*Mint_Fee_Rate</f>
        <v>118440</v>
      </c>
      <c r="H11" s="5"/>
      <c r="I11" s="5"/>
    </row>
    <row r="12" customFormat="false" ht="15" hidden="false" customHeight="false" outlineLevel="0" collapsed="false">
      <c r="A12" s="5"/>
      <c r="B12" s="7" t="s">
        <v>157</v>
      </c>
      <c r="C12" s="34" t="n">
        <f aca="false">TVL_Reserves!C21*Redeem_Fee_Rate</f>
        <v>11250</v>
      </c>
      <c r="D12" s="34" t="n">
        <f aca="false">TVL_Reserves!D21*Redeem_Fee_Rate</f>
        <v>21000</v>
      </c>
      <c r="E12" s="34" t="n">
        <f aca="false">TVL_Reserves!E21*Redeem_Fee_Rate</f>
        <v>35100</v>
      </c>
      <c r="F12" s="34" t="n">
        <f aca="false">TVL_Reserves!F21*Redeem_Fee_Rate</f>
        <v>51840</v>
      </c>
      <c r="G12" s="34" t="n">
        <f aca="false">TVL_Reserves!G21*Redeem_Fee_Rate</f>
        <v>68040</v>
      </c>
      <c r="H12" s="5"/>
      <c r="I12" s="5"/>
    </row>
    <row r="13" customFormat="false" ht="15" hidden="false" customHeight="false" outlineLevel="0" collapsed="false">
      <c r="A13" s="5"/>
      <c r="B13" s="23" t="s">
        <v>158</v>
      </c>
      <c r="C13" s="24"/>
      <c r="D13" s="24"/>
      <c r="E13" s="24"/>
      <c r="F13" s="24"/>
      <c r="G13" s="24"/>
      <c r="H13" s="24"/>
      <c r="I13" s="24"/>
    </row>
    <row r="14" customFormat="false" ht="15" hidden="false" customHeight="false" outlineLevel="0" collapsed="false">
      <c r="A14" s="5"/>
      <c r="B14" s="7" t="s">
        <v>159</v>
      </c>
      <c r="C14" s="34" t="n">
        <f aca="false">TVL_Reserves!C23*Liquidation_Penalty*Protocol_Penalty_Take</f>
        <v>18750</v>
      </c>
      <c r="D14" s="34" t="n">
        <f aca="false">TVL_Reserves!D23*Liquidation_Penalty*Protocol_Penalty_Take</f>
        <v>35000</v>
      </c>
      <c r="E14" s="34" t="n">
        <f aca="false">TVL_Reserves!E23*Liquidation_Penalty*Protocol_Penalty_Take</f>
        <v>58500</v>
      </c>
      <c r="F14" s="34" t="n">
        <f aca="false">TVL_Reserves!F23*Liquidation_Penalty*Protocol_Penalty_Take</f>
        <v>86400</v>
      </c>
      <c r="G14" s="34" t="n">
        <f aca="false">TVL_Reserves!G23*Liquidation_Penalty*Protocol_Penalty_Take</f>
        <v>113400</v>
      </c>
      <c r="H14" s="5"/>
      <c r="I14" s="5"/>
    </row>
    <row r="15" customFormat="false" ht="15" hidden="false" customHeight="false" outlineLevel="0" collapsed="false">
      <c r="A15" s="5"/>
      <c r="B15" s="23" t="s">
        <v>160</v>
      </c>
      <c r="C15" s="24"/>
      <c r="D15" s="24"/>
      <c r="E15" s="24"/>
      <c r="F15" s="24"/>
      <c r="G15" s="24"/>
      <c r="H15" s="24"/>
      <c r="I15" s="24"/>
    </row>
    <row r="16" customFormat="false" ht="15" hidden="false" customHeight="false" outlineLevel="0" collapsed="false">
      <c r="A16" s="5"/>
      <c r="B16" s="36" t="s">
        <v>161</v>
      </c>
      <c r="C16" s="38" t="n">
        <f aca="false">C9+C11+C12+C14</f>
        <v>3778750</v>
      </c>
      <c r="D16" s="38" t="n">
        <f aca="false">D9+D11+D12+D14</f>
        <v>6739000</v>
      </c>
      <c r="E16" s="38" t="n">
        <f aca="false">E9+E11+E12+E14</f>
        <v>10478700</v>
      </c>
      <c r="F16" s="38" t="n">
        <f aca="false">F9+F11+F12+F14</f>
        <v>14693760</v>
      </c>
      <c r="G16" s="38" t="n">
        <f aca="false">G9+G11+G12+G14</f>
        <v>17763480</v>
      </c>
      <c r="H16" s="5"/>
      <c r="I1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162</v>
      </c>
      <c r="C2" s="5"/>
      <c r="D2" s="5"/>
      <c r="E2" s="5"/>
      <c r="F2" s="5"/>
      <c r="G2" s="5"/>
      <c r="H2" s="5"/>
      <c r="I2" s="5"/>
    </row>
    <row r="3" customFormat="false" ht="15" hidden="false" customHeight="false" outlineLevel="0" collapsed="false">
      <c r="A3" s="5"/>
      <c r="B3" s="21" t="s">
        <v>163</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164</v>
      </c>
      <c r="C7" s="24"/>
      <c r="D7" s="24"/>
      <c r="E7" s="24"/>
      <c r="F7" s="24"/>
      <c r="G7" s="24"/>
      <c r="H7" s="24"/>
      <c r="I7" s="24"/>
    </row>
    <row r="8" customFormat="false" ht="15" hidden="false" customHeight="false" outlineLevel="0" collapsed="false">
      <c r="A8" s="5"/>
      <c r="B8" s="7" t="s">
        <v>165</v>
      </c>
      <c r="C8" s="39" t="n">
        <f aca="false">(1+Dev_Team_Growth)^(C6-1)</f>
        <v>1</v>
      </c>
      <c r="D8" s="39" t="n">
        <f aca="false">(1+Dev_Team_Growth)^(D6-1)</f>
        <v>1.15</v>
      </c>
      <c r="E8" s="39" t="n">
        <f aca="false">(1+Dev_Team_Growth)^(E6-1)</f>
        <v>1.3225</v>
      </c>
      <c r="F8" s="39" t="n">
        <f aca="false">(1+Dev_Team_Growth)^(F6-1)</f>
        <v>1.520875</v>
      </c>
      <c r="G8" s="39" t="n">
        <f aca="false">(1+Dev_Team_Growth)^(G6-1)</f>
        <v>1.74900625</v>
      </c>
      <c r="H8" s="5"/>
      <c r="I8" s="5"/>
    </row>
    <row r="9" customFormat="false" ht="15" hidden="false" customHeight="false" outlineLevel="0" collapsed="false">
      <c r="A9" s="5"/>
      <c r="B9" s="7" t="s">
        <v>166</v>
      </c>
      <c r="C9" s="34" t="n">
        <f aca="false">Dev_Team_Base*C8</f>
        <v>1200000</v>
      </c>
      <c r="D9" s="34" t="n">
        <f aca="false">Dev_Team_Base*D8</f>
        <v>1380000</v>
      </c>
      <c r="E9" s="34" t="n">
        <f aca="false">Dev_Team_Base*E8</f>
        <v>1587000</v>
      </c>
      <c r="F9" s="34" t="n">
        <f aca="false">Dev_Team_Base*F8</f>
        <v>1825050</v>
      </c>
      <c r="G9" s="34" t="n">
        <f aca="false">Dev_Team_Base*G8</f>
        <v>2098807.5</v>
      </c>
      <c r="H9" s="5"/>
      <c r="I9" s="5"/>
    </row>
    <row r="10" customFormat="false" ht="15" hidden="false" customHeight="false" outlineLevel="0" collapsed="false">
      <c r="A10" s="5"/>
      <c r="B10" s="7" t="s">
        <v>167</v>
      </c>
      <c r="C10" s="39" t="n">
        <f aca="false">(1+Audit_Growth)^(C6-1)</f>
        <v>1</v>
      </c>
      <c r="D10" s="39" t="n">
        <f aca="false">(1+Audit_Growth)^(D6-1)</f>
        <v>1.05</v>
      </c>
      <c r="E10" s="39" t="n">
        <f aca="false">(1+Audit_Growth)^(E6-1)</f>
        <v>1.1025</v>
      </c>
      <c r="F10" s="39" t="n">
        <f aca="false">(1+Audit_Growth)^(F6-1)</f>
        <v>1.157625</v>
      </c>
      <c r="G10" s="39" t="n">
        <f aca="false">(1+Audit_Growth)^(G6-1)</f>
        <v>1.21550625</v>
      </c>
      <c r="H10" s="5"/>
      <c r="I10" s="5"/>
    </row>
    <row r="11" customFormat="false" ht="15" hidden="false" customHeight="false" outlineLevel="0" collapsed="false">
      <c r="A11" s="5"/>
      <c r="B11" s="7" t="s">
        <v>168</v>
      </c>
      <c r="C11" s="34" t="n">
        <f aca="false">Audit_Base*C10</f>
        <v>400000</v>
      </c>
      <c r="D11" s="34" t="n">
        <f aca="false">Audit_Base*D10</f>
        <v>420000</v>
      </c>
      <c r="E11" s="34" t="n">
        <f aca="false">Audit_Base*E10</f>
        <v>441000</v>
      </c>
      <c r="F11" s="34" t="n">
        <f aca="false">Audit_Base*F10</f>
        <v>463050</v>
      </c>
      <c r="G11" s="34" t="n">
        <f aca="false">Audit_Base*G10</f>
        <v>486202.5</v>
      </c>
      <c r="H11" s="5"/>
      <c r="I11" s="5"/>
    </row>
    <row r="12" customFormat="false" ht="15" hidden="false" customHeight="false" outlineLevel="0" collapsed="false">
      <c r="A12" s="5"/>
      <c r="B12" s="7" t="s">
        <v>169</v>
      </c>
      <c r="C12" s="39" t="n">
        <f aca="false">(1+Legal_Growth)^(C6-1)</f>
        <v>1</v>
      </c>
      <c r="D12" s="39" t="n">
        <f aca="false">(1+Legal_Growth)^(D6-1)</f>
        <v>1.1</v>
      </c>
      <c r="E12" s="39" t="n">
        <f aca="false">(1+Legal_Growth)^(E6-1)</f>
        <v>1.21</v>
      </c>
      <c r="F12" s="39" t="n">
        <f aca="false">(1+Legal_Growth)^(F6-1)</f>
        <v>1.331</v>
      </c>
      <c r="G12" s="39" t="n">
        <f aca="false">(1+Legal_Growth)^(G6-1)</f>
        <v>1.4641</v>
      </c>
      <c r="H12" s="5"/>
      <c r="I12" s="5"/>
    </row>
    <row r="13" customFormat="false" ht="15" hidden="false" customHeight="false" outlineLevel="0" collapsed="false">
      <c r="A13" s="5"/>
      <c r="B13" s="7" t="s">
        <v>170</v>
      </c>
      <c r="C13" s="34" t="n">
        <f aca="false">Legal_Base*C12</f>
        <v>300000</v>
      </c>
      <c r="D13" s="34" t="n">
        <f aca="false">Legal_Base*D12</f>
        <v>330000</v>
      </c>
      <c r="E13" s="34" t="n">
        <f aca="false">Legal_Base*E12</f>
        <v>363000</v>
      </c>
      <c r="F13" s="34" t="n">
        <f aca="false">Legal_Base*F12</f>
        <v>399300</v>
      </c>
      <c r="G13" s="34" t="n">
        <f aca="false">Legal_Base*G12</f>
        <v>439230</v>
      </c>
      <c r="H13" s="5"/>
      <c r="I13" s="5"/>
    </row>
    <row r="14" customFormat="false" ht="15" hidden="false" customHeight="false" outlineLevel="0" collapsed="false">
      <c r="A14" s="5"/>
      <c r="B14" s="7" t="s">
        <v>171</v>
      </c>
      <c r="C14" s="34" t="n">
        <f aca="false">Revenue_Build!C16*Marketing_Pct</f>
        <v>188937.5</v>
      </c>
      <c r="D14" s="34" t="n">
        <f aca="false">Revenue_Build!D16*Marketing_Pct</f>
        <v>336950</v>
      </c>
      <c r="E14" s="34" t="n">
        <f aca="false">Revenue_Build!E16*Marketing_Pct</f>
        <v>523935</v>
      </c>
      <c r="F14" s="34" t="n">
        <f aca="false">Revenue_Build!F16*Marketing_Pct</f>
        <v>734688</v>
      </c>
      <c r="G14" s="34" t="n">
        <f aca="false">Revenue_Build!G16*Marketing_Pct</f>
        <v>888174</v>
      </c>
      <c r="H14" s="5"/>
      <c r="I14" s="5"/>
    </row>
    <row r="15" customFormat="false" ht="15" hidden="false" customHeight="false" outlineLevel="0" collapsed="false">
      <c r="A15" s="5"/>
      <c r="B15" s="7" t="s">
        <v>172</v>
      </c>
      <c r="C15" s="39" t="n">
        <f aca="false">(1+GA_Growth)^(C6-1)</f>
        <v>1</v>
      </c>
      <c r="D15" s="39" t="n">
        <f aca="false">(1+GA_Growth)^(D6-1)</f>
        <v>1.08</v>
      </c>
      <c r="E15" s="39" t="n">
        <f aca="false">(1+GA_Growth)^(E6-1)</f>
        <v>1.1664</v>
      </c>
      <c r="F15" s="39" t="n">
        <f aca="false">(1+GA_Growth)^(F6-1)</f>
        <v>1.259712</v>
      </c>
      <c r="G15" s="39" t="n">
        <f aca="false">(1+GA_Growth)^(G6-1)</f>
        <v>1.36048896</v>
      </c>
      <c r="H15" s="5"/>
      <c r="I15" s="5"/>
    </row>
    <row r="16" customFormat="false" ht="15" hidden="false" customHeight="false" outlineLevel="0" collapsed="false">
      <c r="A16" s="5"/>
      <c r="B16" s="7" t="s">
        <v>173</v>
      </c>
      <c r="C16" s="34" t="n">
        <f aca="false">GA_Base*C15</f>
        <v>200000</v>
      </c>
      <c r="D16" s="34" t="n">
        <f aca="false">GA_Base*D15</f>
        <v>216000</v>
      </c>
      <c r="E16" s="34" t="n">
        <f aca="false">GA_Base*E15</f>
        <v>233280</v>
      </c>
      <c r="F16" s="34" t="n">
        <f aca="false">GA_Base*F15</f>
        <v>251942.4</v>
      </c>
      <c r="G16" s="34" t="n">
        <f aca="false">GA_Base*G15</f>
        <v>272097.792</v>
      </c>
      <c r="H16" s="5"/>
      <c r="I16" s="5"/>
    </row>
    <row r="17" customFormat="false" ht="15" hidden="false" customHeight="false" outlineLevel="0" collapsed="false">
      <c r="A17" s="5"/>
      <c r="B17" s="23" t="s">
        <v>160</v>
      </c>
      <c r="C17" s="24"/>
      <c r="D17" s="24"/>
      <c r="E17" s="24"/>
      <c r="F17" s="24"/>
      <c r="G17" s="24"/>
      <c r="H17" s="24"/>
      <c r="I17" s="24"/>
    </row>
    <row r="18" customFormat="false" ht="15" hidden="false" customHeight="false" outlineLevel="0" collapsed="false">
      <c r="A18" s="5"/>
      <c r="B18" s="36" t="s">
        <v>174</v>
      </c>
      <c r="C18" s="38" t="n">
        <f aca="false">C9+C11+C13+C14+C16</f>
        <v>2288937.5</v>
      </c>
      <c r="D18" s="38" t="n">
        <f aca="false">D9+D11+D13+D14+D16</f>
        <v>2682950</v>
      </c>
      <c r="E18" s="38" t="n">
        <f aca="false">E9+E11+E13+E14+E16</f>
        <v>3148215</v>
      </c>
      <c r="F18" s="38" t="n">
        <f aca="false">F9+F11+F13+F14+F16</f>
        <v>3674030.4</v>
      </c>
      <c r="G18" s="38" t="n">
        <f aca="false">G9+G11+G13+G14+G16</f>
        <v>4184511.792</v>
      </c>
      <c r="H18" s="5"/>
      <c r="I18" s="5"/>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21" t="s">
        <v>175</v>
      </c>
      <c r="C20" s="5"/>
      <c r="D20" s="5"/>
      <c r="E20" s="5"/>
      <c r="F20" s="5"/>
      <c r="G20" s="5"/>
      <c r="H20" s="5"/>
      <c r="I2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I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86</v>
      </c>
      <c r="C2" s="5"/>
      <c r="D2" s="5"/>
      <c r="E2" s="5"/>
      <c r="F2" s="5"/>
      <c r="G2" s="5"/>
      <c r="H2" s="5"/>
      <c r="I2" s="5"/>
    </row>
    <row r="3" customFormat="false" ht="15" hidden="false" customHeight="false" outlineLevel="0" collapsed="false">
      <c r="A3" s="5"/>
      <c r="B3" s="21" t="s">
        <v>176</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177</v>
      </c>
      <c r="C7" s="24"/>
      <c r="D7" s="24"/>
      <c r="E7" s="24"/>
      <c r="F7" s="24"/>
      <c r="G7" s="24"/>
      <c r="H7" s="24"/>
      <c r="I7" s="24"/>
    </row>
    <row r="8" customFormat="false" ht="15" hidden="false" customHeight="false" outlineLevel="0" collapsed="false">
      <c r="A8" s="5"/>
      <c r="B8" s="7" t="s">
        <v>87</v>
      </c>
      <c r="C8" s="34" t="n">
        <f aca="false">Total_Token_Supply</f>
        <v>1000000000</v>
      </c>
      <c r="D8" s="34" t="n">
        <f aca="false">C8</f>
        <v>1000000000</v>
      </c>
      <c r="E8" s="34" t="n">
        <f aca="false">C8</f>
        <v>1000000000</v>
      </c>
      <c r="F8" s="34" t="n">
        <f aca="false">C8</f>
        <v>1000000000</v>
      </c>
      <c r="G8" s="34" t="n">
        <f aca="false">C8</f>
        <v>1000000000</v>
      </c>
      <c r="H8" s="5"/>
      <c r="I8" s="5"/>
    </row>
    <row r="9" customFormat="false" ht="15" hidden="false" customHeight="false" outlineLevel="0" collapsed="false">
      <c r="A9" s="5"/>
      <c r="B9" s="23" t="s">
        <v>178</v>
      </c>
      <c r="C9" s="24"/>
      <c r="D9" s="24"/>
      <c r="E9" s="24"/>
      <c r="F9" s="24"/>
      <c r="G9" s="24"/>
      <c r="H9" s="24"/>
      <c r="I9" s="24"/>
    </row>
    <row r="10" customFormat="false" ht="15" hidden="false" customHeight="false" outlineLevel="0" collapsed="false">
      <c r="A10" s="5"/>
      <c r="B10" s="7" t="s">
        <v>179</v>
      </c>
      <c r="C10" s="34" t="n">
        <f aca="false">Total_Token_Supply*Team_Unlock_Pct</f>
        <v>200000000</v>
      </c>
      <c r="D10" s="34" t="n">
        <f aca="false">C10</f>
        <v>200000000</v>
      </c>
      <c r="E10" s="34" t="n">
        <f aca="false">C10</f>
        <v>200000000</v>
      </c>
      <c r="F10" s="34" t="n">
        <f aca="false">C10</f>
        <v>200000000</v>
      </c>
      <c r="G10" s="34" t="n">
        <f aca="false">C10</f>
        <v>200000000</v>
      </c>
      <c r="H10" s="5"/>
      <c r="I10" s="5"/>
    </row>
    <row r="11" customFormat="false" ht="15" hidden="false" customHeight="false" outlineLevel="0" collapsed="false">
      <c r="A11" s="5"/>
      <c r="B11" s="7" t="s">
        <v>180</v>
      </c>
      <c r="C11" s="34" t="n">
        <f aca="false">0</f>
        <v>0</v>
      </c>
      <c r="D11" s="34" t="n">
        <f aca="false">D10/4</f>
        <v>50000000</v>
      </c>
      <c r="E11" s="34" t="n">
        <f aca="false">E10/4</f>
        <v>50000000</v>
      </c>
      <c r="F11" s="34" t="n">
        <f aca="false">F10/4</f>
        <v>50000000</v>
      </c>
      <c r="G11" s="34" t="n">
        <f aca="false">G10/4</f>
        <v>50000000</v>
      </c>
      <c r="H11" s="5"/>
      <c r="I11" s="5"/>
    </row>
    <row r="12" customFormat="false" ht="15" hidden="false" customHeight="false" outlineLevel="0" collapsed="false">
      <c r="A12" s="5"/>
      <c r="B12" s="7" t="s">
        <v>97</v>
      </c>
      <c r="C12" s="34" t="n">
        <f aca="false">Total_Token_Supply*Community_Emit_Annual</f>
        <v>80000000</v>
      </c>
      <c r="D12" s="34" t="n">
        <f aca="false">Total_Token_Supply*Community_Emit_Annual</f>
        <v>80000000</v>
      </c>
      <c r="E12" s="34" t="n">
        <f aca="false">Total_Token_Supply*Community_Emit_Annual</f>
        <v>80000000</v>
      </c>
      <c r="F12" s="34" t="n">
        <f aca="false">Total_Token_Supply*Community_Emit_Annual</f>
        <v>80000000</v>
      </c>
      <c r="G12" s="34" t="n">
        <f aca="false">Total_Token_Supply*Community_Emit_Annual</f>
        <v>80000000</v>
      </c>
      <c r="H12" s="5"/>
      <c r="I12" s="5"/>
    </row>
    <row r="13" customFormat="false" ht="15" hidden="false" customHeight="false" outlineLevel="0" collapsed="false">
      <c r="A13" s="5"/>
      <c r="B13" s="7" t="s">
        <v>181</v>
      </c>
      <c r="C13" s="34" t="n">
        <f aca="false">Total_Token_Supply*Treasury_Alloc_Pct</f>
        <v>400000000</v>
      </c>
      <c r="D13" s="34" t="n">
        <f aca="false">C13</f>
        <v>400000000</v>
      </c>
      <c r="E13" s="34" t="n">
        <f aca="false">C13</f>
        <v>400000000</v>
      </c>
      <c r="F13" s="34" t="n">
        <f aca="false">C13</f>
        <v>400000000</v>
      </c>
      <c r="G13" s="34" t="n">
        <f aca="false">C13</f>
        <v>400000000</v>
      </c>
      <c r="H13" s="5"/>
      <c r="I13" s="5"/>
    </row>
    <row r="14" customFormat="false" ht="15" hidden="false" customHeight="false" outlineLevel="0" collapsed="false">
      <c r="A14" s="5"/>
      <c r="B14" s="23" t="s">
        <v>182</v>
      </c>
      <c r="C14" s="24"/>
      <c r="D14" s="24"/>
      <c r="E14" s="24"/>
      <c r="F14" s="24"/>
      <c r="G14" s="24"/>
      <c r="H14" s="24"/>
      <c r="I14" s="24"/>
    </row>
    <row r="15" customFormat="false" ht="15" hidden="false" customHeight="false" outlineLevel="0" collapsed="false">
      <c r="A15" s="5"/>
      <c r="B15" s="7" t="s">
        <v>183</v>
      </c>
      <c r="C15" s="34" t="n">
        <f aca="false">C11+C12</f>
        <v>80000000</v>
      </c>
      <c r="D15" s="34" t="n">
        <f aca="false">D11+D12</f>
        <v>130000000</v>
      </c>
      <c r="E15" s="34" t="n">
        <f aca="false">E11+E12</f>
        <v>130000000</v>
      </c>
      <c r="F15" s="34" t="n">
        <f aca="false">F11+F12</f>
        <v>130000000</v>
      </c>
      <c r="G15" s="34" t="n">
        <f aca="false">G11+G12</f>
        <v>130000000</v>
      </c>
      <c r="H15" s="5"/>
      <c r="I15" s="5"/>
    </row>
    <row r="16" customFormat="false" ht="15" hidden="false" customHeight="false" outlineLevel="0" collapsed="false">
      <c r="A16" s="5"/>
      <c r="B16" s="7" t="s">
        <v>184</v>
      </c>
      <c r="C16" s="34" t="n">
        <f aca="false">0</f>
        <v>0</v>
      </c>
      <c r="D16" s="34" t="n">
        <f aca="false">C17</f>
        <v>80000000</v>
      </c>
      <c r="E16" s="34" t="n">
        <f aca="false">D17</f>
        <v>210000000</v>
      </c>
      <c r="F16" s="34" t="n">
        <f aca="false">E17</f>
        <v>340000000</v>
      </c>
      <c r="G16" s="34" t="n">
        <f aca="false">F17</f>
        <v>470000000</v>
      </c>
      <c r="H16" s="5"/>
      <c r="I16" s="5"/>
    </row>
    <row r="17" customFormat="false" ht="15" hidden="false" customHeight="false" outlineLevel="0" collapsed="false">
      <c r="A17" s="5"/>
      <c r="B17" s="36" t="s">
        <v>185</v>
      </c>
      <c r="C17" s="37" t="n">
        <f aca="false">C16+C15</f>
        <v>80000000</v>
      </c>
      <c r="D17" s="37" t="n">
        <f aca="false">D16+D15</f>
        <v>210000000</v>
      </c>
      <c r="E17" s="37" t="n">
        <f aca="false">E16+E15</f>
        <v>340000000</v>
      </c>
      <c r="F17" s="37" t="n">
        <f aca="false">F16+F15</f>
        <v>470000000</v>
      </c>
      <c r="G17" s="37" t="n">
        <f aca="false">G16+G15</f>
        <v>600000000</v>
      </c>
      <c r="H17" s="5"/>
      <c r="I17" s="5"/>
    </row>
    <row r="18" customFormat="false" ht="15" hidden="false" customHeight="false" outlineLevel="0" collapsed="false">
      <c r="A18" s="5"/>
      <c r="B18" s="23" t="s">
        <v>186</v>
      </c>
      <c r="C18" s="24"/>
      <c r="D18" s="24"/>
      <c r="E18" s="24"/>
      <c r="F18" s="24"/>
      <c r="G18" s="24"/>
      <c r="H18" s="24"/>
      <c r="I18" s="24"/>
    </row>
    <row r="19" customFormat="false" ht="15" hidden="false" customHeight="false" outlineLevel="0" collapsed="false">
      <c r="A19" s="5"/>
      <c r="B19" s="7" t="s">
        <v>187</v>
      </c>
      <c r="C19" s="40" t="n">
        <f aca="false">Token_Price_Y1</f>
        <v>0.1</v>
      </c>
      <c r="D19" s="40" t="n">
        <f aca="false">C19*(1+Token_Price_Growth)</f>
        <v>0.13</v>
      </c>
      <c r="E19" s="40" t="n">
        <f aca="false">D19*(1+Token_Price_Growth)</f>
        <v>0.169</v>
      </c>
      <c r="F19" s="40" t="n">
        <f aca="false">E19*(1+Token_Price_Growth)</f>
        <v>0.2197</v>
      </c>
      <c r="G19" s="40" t="n">
        <f aca="false">F19*(1+Token_Price_Growth)</f>
        <v>0.28561</v>
      </c>
      <c r="H19" s="5"/>
      <c r="I19" s="5"/>
    </row>
    <row r="20" customFormat="false" ht="15" hidden="false" customHeight="false" outlineLevel="0" collapsed="false">
      <c r="A20" s="5"/>
      <c r="B20" s="7" t="s">
        <v>188</v>
      </c>
      <c r="C20" s="34" t="n">
        <f aca="false">C17*C19</f>
        <v>8000000</v>
      </c>
      <c r="D20" s="34" t="n">
        <f aca="false">D17*D19</f>
        <v>27300000</v>
      </c>
      <c r="E20" s="34" t="n">
        <f aca="false">E17*E19</f>
        <v>57460000</v>
      </c>
      <c r="F20" s="34" t="n">
        <f aca="false">F17*F19</f>
        <v>103259000</v>
      </c>
      <c r="G20" s="34" t="n">
        <f aca="false">G17*G19</f>
        <v>171366000</v>
      </c>
      <c r="H20" s="5"/>
      <c r="I20" s="5"/>
    </row>
    <row r="21" customFormat="false" ht="15" hidden="false" customHeight="false" outlineLevel="0" collapsed="false">
      <c r="A21" s="5"/>
      <c r="B21" s="23" t="s">
        <v>189</v>
      </c>
      <c r="C21" s="24"/>
      <c r="D21" s="24"/>
      <c r="E21" s="24"/>
      <c r="F21" s="24"/>
      <c r="G21" s="24"/>
      <c r="H21" s="24"/>
      <c r="I21" s="24"/>
    </row>
    <row r="22" customFormat="false" ht="15" hidden="false" customHeight="false" outlineLevel="0" collapsed="false">
      <c r="A22" s="5"/>
      <c r="B22" s="7" t="s">
        <v>189</v>
      </c>
      <c r="C22" s="34" t="n">
        <f aca="false">C12*C19</f>
        <v>8000000</v>
      </c>
      <c r="D22" s="34" t="n">
        <f aca="false">D12*D19</f>
        <v>10400000</v>
      </c>
      <c r="E22" s="34" t="n">
        <f aca="false">E12*E19</f>
        <v>13520000</v>
      </c>
      <c r="F22" s="34" t="n">
        <f aca="false">F12*F19</f>
        <v>17576000</v>
      </c>
      <c r="G22" s="34" t="n">
        <f aca="false">G12*G19</f>
        <v>22848800</v>
      </c>
      <c r="H22" s="5"/>
      <c r="I2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I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190</v>
      </c>
      <c r="C2" s="5"/>
      <c r="D2" s="5"/>
      <c r="E2" s="5"/>
      <c r="F2" s="5"/>
      <c r="G2" s="5"/>
      <c r="H2" s="5"/>
      <c r="I2" s="5"/>
    </row>
    <row r="3" customFormat="false" ht="15" hidden="false" customHeight="false" outlineLevel="0" collapsed="false">
      <c r="A3" s="5"/>
      <c r="B3" s="21" t="s">
        <v>191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192</v>
      </c>
      <c r="C7" s="24"/>
      <c r="D7" s="24"/>
      <c r="E7" s="24"/>
      <c r="F7" s="24"/>
      <c r="G7" s="24"/>
      <c r="H7" s="24"/>
      <c r="I7" s="24"/>
    </row>
    <row r="8" customFormat="false" ht="15" hidden="false" customHeight="false" outlineLevel="0" collapsed="false">
      <c r="A8" s="5"/>
      <c r="B8" s="36" t="s">
        <v>161</v>
      </c>
      <c r="C8" s="41" t="n">
        <f aca="false">Revenue_Build!C16</f>
        <v>3778750</v>
      </c>
      <c r="D8" s="41" t="n">
        <f aca="false">Revenue_Build!D16</f>
        <v>6739000</v>
      </c>
      <c r="E8" s="41" t="n">
        <f aca="false">Revenue_Build!E16</f>
        <v>10478700</v>
      </c>
      <c r="F8" s="41" t="n">
        <f aca="false">Revenue_Build!F16</f>
        <v>14693760</v>
      </c>
      <c r="G8" s="41" t="n">
        <f aca="false">Revenue_Build!G16</f>
        <v>17763480</v>
      </c>
      <c r="H8" s="5"/>
      <c r="I8" s="5"/>
    </row>
    <row r="9" customFormat="false" ht="15" hidden="false" customHeight="false" outlineLevel="0" collapsed="false">
      <c r="A9" s="5"/>
      <c r="B9" s="7" t="s">
        <v>193</v>
      </c>
      <c r="C9" s="34" t="n">
        <f aca="false">-Revenue_Build!C16*Oracle_Gas_Pct</f>
        <v>-151150</v>
      </c>
      <c r="D9" s="34" t="n">
        <f aca="false">-Revenue_Build!D16*Oracle_Gas_Pct</f>
        <v>-269560</v>
      </c>
      <c r="E9" s="34" t="n">
        <f aca="false">-Revenue_Build!E16*Oracle_Gas_Pct</f>
        <v>-419148</v>
      </c>
      <c r="F9" s="34" t="n">
        <f aca="false">-Revenue_Build!F16*Oracle_Gas_Pct</f>
        <v>-587750.4</v>
      </c>
      <c r="G9" s="34" t="n">
        <f aca="false">-Revenue_Build!G16*Oracle_Gas_Pct</f>
        <v>-710539.2</v>
      </c>
      <c r="H9" s="5"/>
      <c r="I9" s="5"/>
    </row>
    <row r="10" customFormat="false" ht="15" hidden="false" customHeight="false" outlineLevel="0" collapsed="false">
      <c r="A10" s="5"/>
      <c r="B10" s="36" t="s">
        <v>194</v>
      </c>
      <c r="C10" s="37" t="n">
        <f aca="false">C8+C9</f>
        <v>3627600</v>
      </c>
      <c r="D10" s="37" t="n">
        <f aca="false">D8+D9</f>
        <v>6469440</v>
      </c>
      <c r="E10" s="37" t="n">
        <f aca="false">E8+E9</f>
        <v>10059552</v>
      </c>
      <c r="F10" s="37" t="n">
        <f aca="false">F8+F9</f>
        <v>14106009.6</v>
      </c>
      <c r="G10" s="37" t="n">
        <f aca="false">G8+G9</f>
        <v>17052940.8</v>
      </c>
      <c r="H10" s="5"/>
      <c r="I10" s="5"/>
    </row>
    <row r="11" customFormat="false" ht="15" hidden="false" customHeight="false" outlineLevel="0" collapsed="false">
      <c r="A11" s="5"/>
      <c r="B11" s="7" t="s">
        <v>195</v>
      </c>
      <c r="C11" s="35" t="n">
        <f aca="false">C10/C8</f>
        <v>0.96</v>
      </c>
      <c r="D11" s="35" t="n">
        <f aca="false">D10/D8</f>
        <v>0.96</v>
      </c>
      <c r="E11" s="35" t="n">
        <f aca="false">E10/E8</f>
        <v>0.96</v>
      </c>
      <c r="F11" s="35" t="n">
        <f aca="false">F10/F8</f>
        <v>0.96</v>
      </c>
      <c r="G11" s="35" t="n">
        <f aca="false">G10/G8</f>
        <v>0.96</v>
      </c>
      <c r="H11" s="5"/>
      <c r="I11" s="5"/>
    </row>
    <row r="12" customFormat="false" ht="15" hidden="false" customHeight="false" outlineLevel="0" collapsed="false">
      <c r="A12" s="5"/>
      <c r="B12" s="23" t="s">
        <v>164</v>
      </c>
      <c r="C12" s="24"/>
      <c r="D12" s="24"/>
      <c r="E12" s="24"/>
      <c r="F12" s="24"/>
      <c r="G12" s="24"/>
      <c r="H12" s="24"/>
      <c r="I12" s="24"/>
    </row>
    <row r="13" customFormat="false" ht="15" hidden="false" customHeight="false" outlineLevel="0" collapsed="false">
      <c r="A13" s="5"/>
      <c r="B13" s="7" t="s">
        <v>196</v>
      </c>
      <c r="C13" s="34" t="n">
        <f aca="false">-Operating_Costs!C9</f>
        <v>-1200000</v>
      </c>
      <c r="D13" s="34" t="n">
        <f aca="false">-Operating_Costs!D9</f>
        <v>-1380000</v>
      </c>
      <c r="E13" s="34" t="n">
        <f aca="false">-Operating_Costs!E9</f>
        <v>-1587000</v>
      </c>
      <c r="F13" s="34" t="n">
        <f aca="false">-Operating_Costs!F9</f>
        <v>-1825050</v>
      </c>
      <c r="G13" s="34" t="n">
        <f aca="false">-Operating_Costs!G9</f>
        <v>-2098807.5</v>
      </c>
      <c r="H13" s="5"/>
      <c r="I13" s="5"/>
    </row>
    <row r="14" customFormat="false" ht="15" hidden="false" customHeight="false" outlineLevel="0" collapsed="false">
      <c r="A14" s="5"/>
      <c r="B14" s="7" t="s">
        <v>197</v>
      </c>
      <c r="C14" s="34" t="n">
        <f aca="false">-Operating_Costs!C11</f>
        <v>-400000</v>
      </c>
      <c r="D14" s="34" t="n">
        <f aca="false">-Operating_Costs!D11</f>
        <v>-420000</v>
      </c>
      <c r="E14" s="34" t="n">
        <f aca="false">-Operating_Costs!E11</f>
        <v>-441000</v>
      </c>
      <c r="F14" s="34" t="n">
        <f aca="false">-Operating_Costs!F11</f>
        <v>-463050</v>
      </c>
      <c r="G14" s="34" t="n">
        <f aca="false">-Operating_Costs!G11</f>
        <v>-486202.5</v>
      </c>
      <c r="H14" s="5"/>
      <c r="I14" s="5"/>
    </row>
    <row r="15" customFormat="false" ht="15" hidden="false" customHeight="false" outlineLevel="0" collapsed="false">
      <c r="A15" s="5"/>
      <c r="B15" s="7" t="s">
        <v>198</v>
      </c>
      <c r="C15" s="34" t="n">
        <f aca="false">-Operating_Costs!C13</f>
        <v>-300000</v>
      </c>
      <c r="D15" s="34" t="n">
        <f aca="false">-Operating_Costs!D13</f>
        <v>-330000</v>
      </c>
      <c r="E15" s="34" t="n">
        <f aca="false">-Operating_Costs!E13</f>
        <v>-363000</v>
      </c>
      <c r="F15" s="34" t="n">
        <f aca="false">-Operating_Costs!F13</f>
        <v>-399300</v>
      </c>
      <c r="G15" s="34" t="n">
        <f aca="false">-Operating_Costs!G13</f>
        <v>-439230</v>
      </c>
      <c r="H15" s="5"/>
      <c r="I15" s="5"/>
    </row>
    <row r="16" customFormat="false" ht="15" hidden="false" customHeight="false" outlineLevel="0" collapsed="false">
      <c r="A16" s="5"/>
      <c r="B16" s="7" t="s">
        <v>199</v>
      </c>
      <c r="C16" s="34" t="n">
        <f aca="false">-Operating_Costs!C14</f>
        <v>-188937.5</v>
      </c>
      <c r="D16" s="34" t="n">
        <f aca="false">-Operating_Costs!D14</f>
        <v>-336950</v>
      </c>
      <c r="E16" s="34" t="n">
        <f aca="false">-Operating_Costs!E14</f>
        <v>-523935</v>
      </c>
      <c r="F16" s="34" t="n">
        <f aca="false">-Operating_Costs!F14</f>
        <v>-734688</v>
      </c>
      <c r="G16" s="34" t="n">
        <f aca="false">-Operating_Costs!G14</f>
        <v>-888174</v>
      </c>
      <c r="H16" s="5"/>
      <c r="I16" s="5"/>
    </row>
    <row r="17" customFormat="false" ht="15" hidden="false" customHeight="false" outlineLevel="0" collapsed="false">
      <c r="A17" s="5"/>
      <c r="B17" s="7" t="s">
        <v>200</v>
      </c>
      <c r="C17" s="34" t="n">
        <f aca="false">-Operating_Costs!C16</f>
        <v>-200000</v>
      </c>
      <c r="D17" s="34" t="n">
        <f aca="false">-Operating_Costs!D16</f>
        <v>-216000</v>
      </c>
      <c r="E17" s="34" t="n">
        <f aca="false">-Operating_Costs!E16</f>
        <v>-233280</v>
      </c>
      <c r="F17" s="34" t="n">
        <f aca="false">-Operating_Costs!F16</f>
        <v>-251942.4</v>
      </c>
      <c r="G17" s="34" t="n">
        <f aca="false">-Operating_Costs!G16</f>
        <v>-272097.792</v>
      </c>
      <c r="H17" s="5"/>
      <c r="I17" s="5"/>
    </row>
    <row r="18" customFormat="false" ht="15" hidden="false" customHeight="false" outlineLevel="0" collapsed="false">
      <c r="A18" s="5"/>
      <c r="B18" s="36" t="s">
        <v>174</v>
      </c>
      <c r="C18" s="37" t="n">
        <f aca="false">C13+C14+C15+C16+C17</f>
        <v>-2288937.5</v>
      </c>
      <c r="D18" s="37" t="n">
        <f aca="false">D13+D14+D15+D16+D17</f>
        <v>-2682950</v>
      </c>
      <c r="E18" s="37" t="n">
        <f aca="false">E13+E14+E15+E16+E17</f>
        <v>-3148215</v>
      </c>
      <c r="F18" s="37" t="n">
        <f aca="false">F13+F14+F15+F16+F17</f>
        <v>-3674030.4</v>
      </c>
      <c r="G18" s="37" t="n">
        <f aca="false">G13+G14+G15+G16+G17</f>
        <v>-4184511.792</v>
      </c>
      <c r="H18" s="5"/>
      <c r="I18" s="5"/>
    </row>
    <row r="19" customFormat="false" ht="15" hidden="false" customHeight="false" outlineLevel="0" collapsed="false">
      <c r="A19" s="5"/>
      <c r="B19" s="23" t="s">
        <v>201</v>
      </c>
      <c r="C19" s="24"/>
      <c r="D19" s="24"/>
      <c r="E19" s="24"/>
      <c r="F19" s="24"/>
      <c r="G19" s="24"/>
      <c r="H19" s="24"/>
      <c r="I19" s="24"/>
    </row>
    <row r="20" customFormat="false" ht="15" hidden="false" customHeight="false" outlineLevel="0" collapsed="false">
      <c r="A20" s="5"/>
      <c r="B20" s="36" t="s">
        <v>201</v>
      </c>
      <c r="C20" s="37" t="n">
        <f aca="false">C10+C18</f>
        <v>1338662.5</v>
      </c>
      <c r="D20" s="37" t="n">
        <f aca="false">D10+D18</f>
        <v>3786490</v>
      </c>
      <c r="E20" s="37" t="n">
        <f aca="false">E10+E18</f>
        <v>6911337</v>
      </c>
      <c r="F20" s="37" t="n">
        <f aca="false">F10+F18</f>
        <v>10431979.2</v>
      </c>
      <c r="G20" s="37" t="n">
        <f aca="false">G10+G18</f>
        <v>12868429.008</v>
      </c>
      <c r="H20" s="5"/>
      <c r="I20" s="5"/>
    </row>
    <row r="21" customFormat="false" ht="15" hidden="false" customHeight="false" outlineLevel="0" collapsed="false">
      <c r="A21" s="5"/>
      <c r="B21" s="7" t="s">
        <v>202</v>
      </c>
      <c r="C21" s="35" t="n">
        <f aca="false">C20/C8</f>
        <v>0.354260668210387</v>
      </c>
      <c r="D21" s="35" t="n">
        <f aca="false">D20/D8</f>
        <v>0.561877133105802</v>
      </c>
      <c r="E21" s="35" t="n">
        <f aca="false">E20/E8</f>
        <v>0.659560537089524</v>
      </c>
      <c r="F21" s="35" t="n">
        <f aca="false">F20/F8</f>
        <v>0.709959819678557</v>
      </c>
      <c r="G21" s="35" t="n">
        <f aca="false">G20/G8</f>
        <v>0.724431755939715</v>
      </c>
      <c r="H21" s="5"/>
      <c r="I21" s="5"/>
    </row>
    <row r="22" customFormat="false" ht="15" hidden="false" customHeight="false" outlineLevel="0" collapsed="false">
      <c r="A22" s="5"/>
      <c r="B22" s="23" t="s">
        <v>203</v>
      </c>
      <c r="C22" s="24"/>
      <c r="D22" s="24"/>
      <c r="E22" s="24"/>
      <c r="F22" s="24"/>
      <c r="G22" s="24"/>
      <c r="H22" s="24"/>
      <c r="I22" s="24"/>
    </row>
    <row r="23" customFormat="false" ht="15" hidden="false" customHeight="false" outlineLevel="0" collapsed="false">
      <c r="A23" s="5"/>
      <c r="B23" s="7" t="s">
        <v>204</v>
      </c>
      <c r="C23" s="34" t="n">
        <f aca="false">-Tokenomics!C22</f>
        <v>-8000000</v>
      </c>
      <c r="D23" s="34" t="n">
        <f aca="false">-Tokenomics!D22</f>
        <v>-10400000</v>
      </c>
      <c r="E23" s="34" t="n">
        <f aca="false">-Tokenomics!E22</f>
        <v>-13520000</v>
      </c>
      <c r="F23" s="34" t="n">
        <f aca="false">-Tokenomics!F22</f>
        <v>-17576000</v>
      </c>
      <c r="G23" s="34" t="n">
        <f aca="false">-Tokenomics!G22</f>
        <v>-22848800</v>
      </c>
      <c r="H23" s="5"/>
      <c r="I23" s="5"/>
    </row>
    <row r="24" customFormat="false" ht="15" hidden="false" customHeight="false" outlineLevel="0" collapsed="false">
      <c r="A24" s="5"/>
      <c r="B24" s="36" t="s">
        <v>205</v>
      </c>
      <c r="C24" s="37" t="n">
        <f aca="false">C20+C23</f>
        <v>-6661337.5</v>
      </c>
      <c r="D24" s="37" t="n">
        <f aca="false">D20+D23</f>
        <v>-6613510</v>
      </c>
      <c r="E24" s="37" t="n">
        <f aca="false">E20+E23</f>
        <v>-6608663</v>
      </c>
      <c r="F24" s="37" t="n">
        <f aca="false">F20+F23</f>
        <v>-7144020.8</v>
      </c>
      <c r="G24" s="37" t="n">
        <f aca="false">G20+G23</f>
        <v>-9980370.992</v>
      </c>
      <c r="H24" s="5"/>
      <c r="I24" s="5"/>
    </row>
    <row r="25" customFormat="false" ht="15" hidden="false" customHeight="false" outlineLevel="0" collapsed="false">
      <c r="A25" s="5"/>
      <c r="B25" s="23" t="s">
        <v>206</v>
      </c>
      <c r="C25" s="24"/>
      <c r="D25" s="24"/>
      <c r="E25" s="24"/>
      <c r="F25" s="24"/>
      <c r="G25" s="24"/>
      <c r="H25" s="24"/>
      <c r="I25" s="24"/>
    </row>
    <row r="26" customFormat="false" ht="15" hidden="false" customHeight="false" outlineLevel="0" collapsed="false">
      <c r="A26" s="5"/>
      <c r="B26" s="7" t="s">
        <v>207</v>
      </c>
      <c r="C26" s="34" t="n">
        <f aca="false">Open_Cash*Int_Income_Rate</f>
        <v>0</v>
      </c>
      <c r="D26" s="34" t="n">
        <f aca="false">Balance_Sheet!C8*Int_Income_Rate</f>
        <v>659803.482876712</v>
      </c>
      <c r="E26" s="34" t="n">
        <f aca="false">Balance_Sheet!D8*Int_Income_Rate</f>
        <v>516960.395479451</v>
      </c>
      <c r="F26" s="34" t="n">
        <f aca="false">Balance_Sheet!E8*Int_Income_Rate</f>
        <v>381084.540339727</v>
      </c>
      <c r="G26" s="34" t="n">
        <f aca="false">Balance_Sheet!F8*Int_Income_Rate</f>
        <v>351676.880868382</v>
      </c>
      <c r="H26" s="5"/>
      <c r="I26" s="5"/>
    </row>
    <row r="27" customFormat="false" ht="15" hidden="false" customHeight="false" outlineLevel="0" collapsed="false">
      <c r="A27" s="5"/>
      <c r="B27" s="36" t="s">
        <v>208</v>
      </c>
      <c r="C27" s="37" t="n">
        <f aca="false">C24+C26</f>
        <v>-6661337.5</v>
      </c>
      <c r="D27" s="37" t="n">
        <f aca="false">D24+D26</f>
        <v>-5953706.51712329</v>
      </c>
      <c r="E27" s="37" t="n">
        <f aca="false">E24+E26</f>
        <v>-6091702.60452055</v>
      </c>
      <c r="F27" s="37" t="n">
        <f aca="false">F24+F26</f>
        <v>-6762936.25966028</v>
      </c>
      <c r="G27" s="37" t="n">
        <f aca="false">G24+G26</f>
        <v>-9628694.11113162</v>
      </c>
      <c r="H27" s="5"/>
      <c r="I27" s="5"/>
    </row>
    <row r="28" customFormat="false" ht="15" hidden="false" customHeight="false" outlineLevel="0" collapsed="false">
      <c r="A28" s="5"/>
      <c r="B28" s="23" t="s">
        <v>209</v>
      </c>
      <c r="C28" s="24"/>
      <c r="D28" s="24"/>
      <c r="E28" s="24"/>
      <c r="F28" s="24"/>
      <c r="G28" s="24"/>
      <c r="H28" s="24"/>
      <c r="I28" s="24"/>
    </row>
    <row r="29" customFormat="false" ht="15" hidden="false" customHeight="false" outlineLevel="0" collapsed="false">
      <c r="A29" s="5"/>
      <c r="B29" s="7" t="s">
        <v>210</v>
      </c>
      <c r="C29" s="34" t="n">
        <f aca="false">NOL_Opening</f>
        <v>0</v>
      </c>
      <c r="D29" s="34" t="n">
        <f aca="false">C35</f>
        <v>6661337.5</v>
      </c>
      <c r="E29" s="34" t="n">
        <f aca="false">D35</f>
        <v>12615044.0171233</v>
      </c>
      <c r="F29" s="34" t="n">
        <f aca="false">E35</f>
        <v>18706746.6216438</v>
      </c>
      <c r="G29" s="34" t="n">
        <f aca="false">F35</f>
        <v>25469682.8813041</v>
      </c>
      <c r="H29" s="5"/>
      <c r="I29" s="5"/>
    </row>
    <row r="30" customFormat="false" ht="15" hidden="false" customHeight="false" outlineLevel="0" collapsed="false">
      <c r="A30" s="5"/>
      <c r="B30" s="7" t="s">
        <v>211</v>
      </c>
      <c r="C30" s="34" t="n">
        <f aca="false">C27</f>
        <v>-6661337.5</v>
      </c>
      <c r="D30" s="34" t="n">
        <f aca="false">D27</f>
        <v>-5953706.51712329</v>
      </c>
      <c r="E30" s="34" t="n">
        <f aca="false">E27</f>
        <v>-6091702.60452055</v>
      </c>
      <c r="F30" s="34" t="n">
        <f aca="false">F27</f>
        <v>-6762936.25966028</v>
      </c>
      <c r="G30" s="34" t="n">
        <f aca="false">G27</f>
        <v>-9628694.11113162</v>
      </c>
      <c r="H30" s="5"/>
      <c r="I30" s="5"/>
    </row>
    <row r="31" customFormat="false" ht="15" hidden="false" customHeight="false" outlineLevel="0" collapsed="false">
      <c r="A31" s="5"/>
      <c r="B31" s="7" t="s">
        <v>212</v>
      </c>
      <c r="C31" s="34" t="n">
        <f aca="false">IF(C30&gt;0,MIN(C29,C30),0)</f>
        <v>0</v>
      </c>
      <c r="D31" s="34" t="n">
        <f aca="false">IF(D30&gt;0,MIN(D29,D30),0)</f>
        <v>0</v>
      </c>
      <c r="E31" s="34" t="n">
        <f aca="false">IF(E30&gt;0,MIN(E29,E30),0)</f>
        <v>0</v>
      </c>
      <c r="F31" s="34" t="n">
        <f aca="false">IF(F30&gt;0,MIN(F29,F30),0)</f>
        <v>0</v>
      </c>
      <c r="G31" s="34" t="n">
        <f aca="false">IF(G30&gt;0,MIN(G29,G30),0)</f>
        <v>0</v>
      </c>
      <c r="H31" s="5"/>
      <c r="I31" s="5"/>
    </row>
    <row r="32" customFormat="false" ht="15" hidden="false" customHeight="false" outlineLevel="0" collapsed="false">
      <c r="A32" s="5"/>
      <c r="B32" s="7" t="s">
        <v>213</v>
      </c>
      <c r="C32" s="34" t="n">
        <f aca="false">MAX(0,C30-C31)</f>
        <v>0</v>
      </c>
      <c r="D32" s="34" t="n">
        <f aca="false">MAX(0,D30-D31)</f>
        <v>0</v>
      </c>
      <c r="E32" s="34" t="n">
        <f aca="false">MAX(0,E30-E31)</f>
        <v>0</v>
      </c>
      <c r="F32" s="34" t="n">
        <f aca="false">MAX(0,F30-F31)</f>
        <v>0</v>
      </c>
      <c r="G32" s="34" t="n">
        <f aca="false">MAX(0,G30-G31)</f>
        <v>0</v>
      </c>
      <c r="H32" s="5"/>
      <c r="I32" s="5"/>
    </row>
    <row r="33" customFormat="false" ht="15" hidden="false" customHeight="false" outlineLevel="0" collapsed="false">
      <c r="A33" s="5"/>
      <c r="B33" s="7" t="s">
        <v>214</v>
      </c>
      <c r="C33" s="34" t="n">
        <f aca="false">-C32*Tax_Rate</f>
        <v>-0</v>
      </c>
      <c r="D33" s="34" t="n">
        <f aca="false">-D32*Tax_Rate</f>
        <v>-0</v>
      </c>
      <c r="E33" s="34" t="n">
        <f aca="false">-E32*Tax_Rate</f>
        <v>-0</v>
      </c>
      <c r="F33" s="34" t="n">
        <f aca="false">-F32*Tax_Rate</f>
        <v>-0</v>
      </c>
      <c r="G33" s="34" t="n">
        <f aca="false">-G32*Tax_Rate</f>
        <v>-0</v>
      </c>
      <c r="H33" s="5"/>
      <c r="I33" s="5"/>
    </row>
    <row r="34" customFormat="false" ht="15" hidden="false" customHeight="false" outlineLevel="0" collapsed="false">
      <c r="A34" s="5"/>
      <c r="B34" s="7" t="s">
        <v>215</v>
      </c>
      <c r="C34" s="34" t="n">
        <f aca="false">IF(C27&lt;0,-C27,0)</f>
        <v>6661337.5</v>
      </c>
      <c r="D34" s="34" t="n">
        <f aca="false">IF(D27&lt;0,-D27,0)</f>
        <v>5953706.51712329</v>
      </c>
      <c r="E34" s="34" t="n">
        <f aca="false">IF(E27&lt;0,-E27,0)</f>
        <v>6091702.60452055</v>
      </c>
      <c r="F34" s="34" t="n">
        <f aca="false">IF(F27&lt;0,-F27,0)</f>
        <v>6762936.25966028</v>
      </c>
      <c r="G34" s="34" t="n">
        <f aca="false">IF(G27&lt;0,-G27,0)</f>
        <v>9628694.11113162</v>
      </c>
      <c r="H34" s="5"/>
      <c r="I34" s="5"/>
    </row>
    <row r="35" customFormat="false" ht="15" hidden="false" customHeight="false" outlineLevel="0" collapsed="false">
      <c r="A35" s="5"/>
      <c r="B35" s="7" t="s">
        <v>216</v>
      </c>
      <c r="C35" s="34" t="n">
        <f aca="false">C29+C34-C31</f>
        <v>6661337.5</v>
      </c>
      <c r="D35" s="34" t="n">
        <f aca="false">D29+D34-D31</f>
        <v>12615044.0171233</v>
      </c>
      <c r="E35" s="34" t="n">
        <f aca="false">E29+E34-E31</f>
        <v>18706746.6216438</v>
      </c>
      <c r="F35" s="34" t="n">
        <f aca="false">F29+F34-F31</f>
        <v>25469682.8813041</v>
      </c>
      <c r="G35" s="34" t="n">
        <f aca="false">G29+G34-G31</f>
        <v>35098376.9924357</v>
      </c>
      <c r="H35" s="5"/>
      <c r="I35" s="5"/>
    </row>
    <row r="36" customFormat="false" ht="15" hidden="false" customHeight="false" outlineLevel="0" collapsed="false">
      <c r="A36" s="5"/>
      <c r="B36" s="23" t="s">
        <v>217</v>
      </c>
      <c r="C36" s="24"/>
      <c r="D36" s="24"/>
      <c r="E36" s="24"/>
      <c r="F36" s="24"/>
      <c r="G36" s="24"/>
      <c r="H36" s="24"/>
      <c r="I36" s="24"/>
    </row>
    <row r="37" customFormat="false" ht="15" hidden="false" customHeight="false" outlineLevel="0" collapsed="false">
      <c r="A37" s="5"/>
      <c r="B37" s="36" t="s">
        <v>217</v>
      </c>
      <c r="C37" s="38" t="n">
        <f aca="false">C27+C33</f>
        <v>-6661337.5</v>
      </c>
      <c r="D37" s="38" t="n">
        <f aca="false">D27+D33</f>
        <v>-5953706.51712329</v>
      </c>
      <c r="E37" s="38" t="n">
        <f aca="false">E27+E33</f>
        <v>-6091702.60452055</v>
      </c>
      <c r="F37" s="38" t="n">
        <f aca="false">F27+F33</f>
        <v>-6762936.25966028</v>
      </c>
      <c r="G37" s="38" t="n">
        <f aca="false">G27+G33</f>
        <v>-9628694.11113162</v>
      </c>
      <c r="H37" s="5"/>
      <c r="I37" s="5"/>
    </row>
    <row r="38" customFormat="false" ht="15" hidden="false" customHeight="false" outlineLevel="0" collapsed="false">
      <c r="A38" s="5"/>
      <c r="B38" s="7" t="s">
        <v>218</v>
      </c>
      <c r="C38" s="35" t="n">
        <f aca="false">C37/C8</f>
        <v>-1.762841548131</v>
      </c>
      <c r="D38" s="35" t="n">
        <f aca="false">D37/D8</f>
        <v>-0.883470324547156</v>
      </c>
      <c r="E38" s="35" t="n">
        <f aca="false">E37/E8</f>
        <v>-0.581341445457981</v>
      </c>
      <c r="F38" s="35" t="n">
        <f aca="false">F37/F8</f>
        <v>-0.460259066410522</v>
      </c>
      <c r="G38" s="35" t="n">
        <f aca="false">G37/G8</f>
        <v>-0.542049987453563</v>
      </c>
      <c r="H38" s="5"/>
      <c r="I3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DD7EE"/>
    <pageSetUpPr fitToPage="false"/>
  </sheetPr>
  <dimension ref="A1:I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32"/>
    <col collapsed="false" customWidth="true" hidden="false" outlineLevel="0" max="7" min="3" style="0" width="14"/>
    <col collapsed="false" customWidth="true" hidden="false" outlineLevel="0" max="8" min="8"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13" t="s">
        <v>219</v>
      </c>
      <c r="C2" s="5"/>
      <c r="D2" s="5"/>
      <c r="E2" s="5"/>
      <c r="F2" s="5"/>
      <c r="G2" s="5"/>
      <c r="H2" s="5"/>
      <c r="I2" s="5"/>
    </row>
    <row r="3" customFormat="false" ht="15" hidden="false" customHeight="false" outlineLevel="0" collapsed="false">
      <c r="A3" s="5"/>
      <c r="B3" s="21" t="s">
        <v>220</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5"/>
      <c r="C5" s="32" t="n">
        <f aca="false">Model_Start_Year+0</f>
        <v>2026</v>
      </c>
      <c r="D5" s="32" t="n">
        <f aca="false">Model_Start_Year+1</f>
        <v>2027</v>
      </c>
      <c r="E5" s="32" t="n">
        <f aca="false">Model_Start_Year+2</f>
        <v>2028</v>
      </c>
      <c r="F5" s="32" t="n">
        <f aca="false">Model_Start_Year+3</f>
        <v>2029</v>
      </c>
      <c r="G5" s="32" t="n">
        <f aca="false">Model_Start_Year+4</f>
        <v>2030</v>
      </c>
      <c r="H5" s="5"/>
      <c r="I5" s="5"/>
    </row>
    <row r="6" customFormat="false" ht="15" hidden="false" customHeight="false" outlineLevel="0" collapsed="false">
      <c r="A6" s="5"/>
      <c r="B6" s="5"/>
      <c r="C6" s="33" t="n">
        <v>1</v>
      </c>
      <c r="D6" s="33" t="n">
        <v>2</v>
      </c>
      <c r="E6" s="33" t="n">
        <v>3</v>
      </c>
      <c r="F6" s="33" t="n">
        <v>4</v>
      </c>
      <c r="G6" s="33" t="n">
        <v>5</v>
      </c>
      <c r="H6" s="5"/>
      <c r="I6" s="5"/>
    </row>
    <row r="7" customFormat="false" ht="15" hidden="false" customHeight="false" outlineLevel="0" collapsed="false">
      <c r="A7" s="5"/>
      <c r="B7" s="23" t="s">
        <v>221</v>
      </c>
      <c r="C7" s="24"/>
      <c r="D7" s="24"/>
      <c r="E7" s="24"/>
      <c r="F7" s="24"/>
      <c r="G7" s="24"/>
      <c r="H7" s="24"/>
      <c r="I7" s="24"/>
    </row>
    <row r="8" customFormat="false" ht="15" hidden="false" customHeight="false" outlineLevel="0" collapsed="false">
      <c r="A8" s="5"/>
      <c r="B8" s="7" t="s">
        <v>222</v>
      </c>
      <c r="C8" s="34" t="n">
        <f aca="false">Cash_Flow!C26</f>
        <v>16495087.0719178</v>
      </c>
      <c r="D8" s="34" t="n">
        <f aca="false">Cash_Flow!D26</f>
        <v>12924009.8869863</v>
      </c>
      <c r="E8" s="34" t="n">
        <f aca="false">Cash_Flow!E26</f>
        <v>9527113.50849317</v>
      </c>
      <c r="F8" s="34" t="n">
        <f aca="false">Cash_Flow!F26</f>
        <v>8791922.02170955</v>
      </c>
      <c r="G8" s="34" t="n">
        <f aca="false">Cash_Flow!G26</f>
        <v>11924204.7073122</v>
      </c>
      <c r="H8" s="5"/>
      <c r="I8" s="5"/>
    </row>
    <row r="9" customFormat="false" ht="15" hidden="false" customHeight="false" outlineLevel="0" collapsed="false">
      <c r="A9" s="5"/>
      <c r="B9" s="7" t="s">
        <v>223</v>
      </c>
      <c r="C9" s="34" t="n">
        <f aca="false">TVL_Reserves!C16</f>
        <v>110000000</v>
      </c>
      <c r="D9" s="34" t="n">
        <f aca="false">TVL_Reserves!D16</f>
        <v>198000000</v>
      </c>
      <c r="E9" s="34" t="n">
        <f aca="false">TVL_Reserves!E16</f>
        <v>316800000</v>
      </c>
      <c r="F9" s="34" t="n">
        <f aca="false">TVL_Reserves!F16</f>
        <v>443520000</v>
      </c>
      <c r="G9" s="34" t="n">
        <f aca="false">TVL_Reserves!G16</f>
        <v>554400000</v>
      </c>
      <c r="H9" s="5"/>
      <c r="I9" s="5"/>
    </row>
    <row r="10" customFormat="false" ht="15" hidden="false" customHeight="false" outlineLevel="0" collapsed="false">
      <c r="A10" s="5"/>
      <c r="B10" s="7" t="s">
        <v>224</v>
      </c>
      <c r="C10" s="34" t="n">
        <f aca="false">Income_Statement!C8*DSO/365</f>
        <v>72469.1780821918</v>
      </c>
      <c r="D10" s="34" t="n">
        <f aca="false">Income_Statement!D8*DSO/365</f>
        <v>129241.095890411</v>
      </c>
      <c r="E10" s="34" t="n">
        <f aca="false">Income_Statement!E8*DSO/365</f>
        <v>200961.369863014</v>
      </c>
      <c r="F10" s="34" t="n">
        <f aca="false">Income_Statement!F8*DSO/365</f>
        <v>281798.136986301</v>
      </c>
      <c r="G10" s="34" t="n">
        <f aca="false">Income_Statement!G8*DSO/365</f>
        <v>340669.479452055</v>
      </c>
      <c r="H10" s="5"/>
      <c r="I10" s="5"/>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36" t="s">
        <v>225</v>
      </c>
      <c r="C12" s="38" t="n">
        <f aca="false">C8+C9+C10</f>
        <v>126567556.25</v>
      </c>
      <c r="D12" s="38" t="n">
        <f aca="false">D8+D9+D10</f>
        <v>211053250.982877</v>
      </c>
      <c r="E12" s="38" t="n">
        <f aca="false">E8+E9+E10</f>
        <v>326528074.878356</v>
      </c>
      <c r="F12" s="38" t="n">
        <f aca="false">F8+F9+F10</f>
        <v>452593720.158696</v>
      </c>
      <c r="G12" s="38" t="n">
        <f aca="false">G8+G9+G10</f>
        <v>566664874.186764</v>
      </c>
      <c r="H12" s="5"/>
      <c r="I12" s="5"/>
    </row>
    <row r="13" customFormat="false" ht="15" hidden="false" customHeight="false" outlineLevel="0" collapsed="false">
      <c r="A13" s="5"/>
      <c r="B13" s="23" t="s">
        <v>226</v>
      </c>
      <c r="C13" s="24"/>
      <c r="D13" s="24"/>
      <c r="E13" s="24"/>
      <c r="F13" s="24"/>
      <c r="G13" s="24"/>
      <c r="H13" s="24"/>
      <c r="I13" s="24"/>
    </row>
    <row r="14" customFormat="false" ht="15" hidden="false" customHeight="false" outlineLevel="0" collapsed="false">
      <c r="A14" s="5"/>
      <c r="B14" s="7" t="s">
        <v>227</v>
      </c>
      <c r="C14" s="34" t="n">
        <f aca="false">TVL_Reserves!C11</f>
        <v>100000000</v>
      </c>
      <c r="D14" s="34" t="n">
        <f aca="false">TVL_Reserves!D11</f>
        <v>180000000</v>
      </c>
      <c r="E14" s="34" t="n">
        <f aca="false">TVL_Reserves!E11</f>
        <v>288000000</v>
      </c>
      <c r="F14" s="34" t="n">
        <f aca="false">TVL_Reserves!F11</f>
        <v>403200000</v>
      </c>
      <c r="G14" s="34" t="n">
        <f aca="false">TVL_Reserves!G11</f>
        <v>504000000</v>
      </c>
      <c r="H14" s="5"/>
      <c r="I14" s="5"/>
    </row>
    <row r="15" customFormat="false" ht="15" hidden="false" customHeight="false" outlineLevel="0" collapsed="false">
      <c r="A15" s="5"/>
      <c r="B15" s="7" t="s">
        <v>228</v>
      </c>
      <c r="C15" s="34" t="n">
        <f aca="false">Operating_Costs!C18*Accrued_Liab_Pct</f>
        <v>228893.75</v>
      </c>
      <c r="D15" s="34" t="n">
        <f aca="false">Operating_Costs!D18*Accrued_Liab_Pct</f>
        <v>268295</v>
      </c>
      <c r="E15" s="34" t="n">
        <f aca="false">Operating_Costs!E18*Accrued_Liab_Pct</f>
        <v>314821.5</v>
      </c>
      <c r="F15" s="34" t="n">
        <f aca="false">Operating_Costs!F18*Accrued_Liab_Pct</f>
        <v>367403.04</v>
      </c>
      <c r="G15" s="34" t="n">
        <f aca="false">Operating_Costs!G18*Accrued_Liab_Pct</f>
        <v>418451.1792</v>
      </c>
      <c r="H15" s="5"/>
      <c r="I15" s="5"/>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6" t="s">
        <v>229</v>
      </c>
      <c r="C17" s="37" t="n">
        <f aca="false">C14+C15</f>
        <v>100228893.75</v>
      </c>
      <c r="D17" s="37" t="n">
        <f aca="false">D14+D15</f>
        <v>180268295</v>
      </c>
      <c r="E17" s="37" t="n">
        <f aca="false">E14+E15</f>
        <v>288314821.5</v>
      </c>
      <c r="F17" s="37" t="n">
        <f aca="false">F14+F15</f>
        <v>403567403.04</v>
      </c>
      <c r="G17" s="37" t="n">
        <f aca="false">G14+G15</f>
        <v>504418451.1792</v>
      </c>
      <c r="H17" s="5"/>
      <c r="I17" s="5"/>
    </row>
    <row r="18" customFormat="false" ht="15" hidden="false" customHeight="false" outlineLevel="0" collapsed="false">
      <c r="A18" s="5"/>
      <c r="B18" s="23" t="s">
        <v>230</v>
      </c>
      <c r="C18" s="24"/>
      <c r="D18" s="24"/>
      <c r="E18" s="24"/>
      <c r="F18" s="24"/>
      <c r="G18" s="24"/>
      <c r="H18" s="24"/>
      <c r="I18" s="24"/>
    </row>
    <row r="19" customFormat="false" ht="15" hidden="false" customHeight="false" outlineLevel="0" collapsed="false">
      <c r="A19" s="5"/>
      <c r="B19" s="7" t="s">
        <v>231</v>
      </c>
      <c r="C19" s="34" t="n">
        <f aca="false">TVL_Base*(Collat_Ratio-1)+Equity_Injection+-Income_Statement!C23</f>
        <v>33000000</v>
      </c>
      <c r="D19" s="34" t="n">
        <f aca="false">C19+-Income_Statement!D23</f>
        <v>43400000</v>
      </c>
      <c r="E19" s="34" t="n">
        <f aca="false">D19+-Income_Statement!E23</f>
        <v>56920000</v>
      </c>
      <c r="F19" s="34" t="n">
        <f aca="false">E19+-Income_Statement!F23</f>
        <v>74496000</v>
      </c>
      <c r="G19" s="34" t="n">
        <f aca="false">F19+-Income_Statement!G23</f>
        <v>97344800</v>
      </c>
      <c r="H19" s="5"/>
      <c r="I19" s="5"/>
    </row>
    <row r="20" customFormat="false" ht="15" hidden="false" customHeight="false" outlineLevel="0" collapsed="false">
      <c r="A20" s="5"/>
      <c r="B20" s="7" t="s">
        <v>232</v>
      </c>
      <c r="C20" s="34" t="n">
        <f aca="false">Open_RE+Income_Statement!C37</f>
        <v>-6661337.5</v>
      </c>
      <c r="D20" s="34" t="n">
        <f aca="false">C20+Income_Statement!D37</f>
        <v>-12615044.0171233</v>
      </c>
      <c r="E20" s="34" t="n">
        <f aca="false">D20+Income_Statement!E37</f>
        <v>-18706746.6216438</v>
      </c>
      <c r="F20" s="34" t="n">
        <f aca="false">E20+Income_Statement!F37</f>
        <v>-25469682.8813041</v>
      </c>
      <c r="G20" s="34" t="n">
        <f aca="false">F20+Income_Statement!G37</f>
        <v>-35098376.9924357</v>
      </c>
      <c r="H20" s="5"/>
      <c r="I20" s="5"/>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36" t="s">
        <v>233</v>
      </c>
      <c r="C22" s="37" t="n">
        <f aca="false">C19+C20</f>
        <v>26338662.5</v>
      </c>
      <c r="D22" s="37" t="n">
        <f aca="false">D19+D20</f>
        <v>30784955.9828767</v>
      </c>
      <c r="E22" s="37" t="n">
        <f aca="false">E19+E20</f>
        <v>38213253.3783562</v>
      </c>
      <c r="F22" s="37" t="n">
        <f aca="false">F19+F20</f>
        <v>49026317.1186959</v>
      </c>
      <c r="G22" s="37" t="n">
        <f aca="false">G19+G20</f>
        <v>62246423.0075643</v>
      </c>
      <c r="H22" s="5"/>
      <c r="I22" s="5"/>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36" t="s">
        <v>234</v>
      </c>
      <c r="C24" s="38" t="n">
        <f aca="false">C17+C22</f>
        <v>126567556.25</v>
      </c>
      <c r="D24" s="38" t="n">
        <f aca="false">D17+D22</f>
        <v>211053250.982877</v>
      </c>
      <c r="E24" s="38" t="n">
        <f aca="false">E17+E22</f>
        <v>326528074.878356</v>
      </c>
      <c r="F24" s="38" t="n">
        <f aca="false">F17+F22</f>
        <v>452593720.158696</v>
      </c>
      <c r="G24" s="38" t="n">
        <f aca="false">G17+G22</f>
        <v>566664874.186764</v>
      </c>
      <c r="H24" s="5"/>
      <c r="I24" s="5"/>
    </row>
    <row r="25" customFormat="false" ht="15" hidden="false" customHeight="false" outlineLevel="0" collapsed="false">
      <c r="A25" s="5"/>
      <c r="B25" s="5"/>
      <c r="C25" s="5"/>
      <c r="D25" s="5"/>
      <c r="E25" s="5"/>
      <c r="F25" s="5"/>
      <c r="G25" s="5"/>
      <c r="H25" s="5"/>
      <c r="I25" s="5"/>
    </row>
    <row r="26" customFormat="false" ht="15" hidden="false" customHeight="false" outlineLevel="0" collapsed="false">
      <c r="A26" s="5"/>
      <c r="B26" s="7" t="s">
        <v>235</v>
      </c>
      <c r="C26" s="42" t="n">
        <f aca="false">C12-C24</f>
        <v>0</v>
      </c>
      <c r="D26" s="42" t="n">
        <f aca="false">D12-D24</f>
        <v>0</v>
      </c>
      <c r="E26" s="42" t="n">
        <f aca="false">E12-E24</f>
        <v>0</v>
      </c>
      <c r="F26" s="42" t="n">
        <f aca="false">F12-F24</f>
        <v>0</v>
      </c>
      <c r="G26" s="42" t="n">
        <f aca="false">G12-G24</f>
        <v>0</v>
      </c>
      <c r="H26" s="5"/>
      <c r="I26"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2026-05-15T18:53:53Z</dcterms:created>
  <dc:creator>openpyxl</dc:creator>
  <dc:description/>
  <dc:language>en-GB</dc:language>
  <cp:lastModifiedBy/>
  <dcterms:modified xsi:type="dcterms:W3CDTF">2026-05-15T18:53:53Z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