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Loan_Book" sheetId="3" state="visible" r:id="rId5"/>
    <sheet name="Funding_Book" sheetId="4" state="visible" r:id="rId6"/>
    <sheet name="NonInt_Inc" sheetId="5" state="visible" r:id="rId7"/>
    <sheet name="NII_Margins" sheetId="6" state="visible" r:id="rId8"/>
    <sheet name="Opex_Capex" sheetId="7" state="visible" r:id="rId9"/>
    <sheet name="Income_Statement" sheetId="8" state="visible" r:id="rId10"/>
    <sheet name="Balance_Sheet" sheetId="9" state="visible" r:id="rId11"/>
    <sheet name="Capital_RWA" sheetId="10" state="visible" r:id="rId12"/>
    <sheet name="Cash_Flow" sheetId="11" state="visible" r:id="rId13"/>
    <sheet name="Scenarios" sheetId="12" state="visible" r:id="rId14"/>
    <sheet name="Checks" sheetId="13" state="visible" r:id="rId15"/>
    <sheet name="Disclaimer" sheetId="14" state="visible" r:id="rId16"/>
  </sheets>
  <definedNames>
    <definedName function="false" hidden="false" name="Asset_Reprice_Beta" vbProcedure="false">Assumptions!$F$12</definedName>
    <definedName function="false" hidden="false" name="AT1_Coupon_Rate" vbProcedure="false">Assumptions!$C$63</definedName>
    <definedName function="false" hidden="false" name="Base_Fee_Income" vbProcedure="false">Assumptions!$C$46</definedName>
    <definedName function="false" hidden="false" name="Base_Rate" vbProcedure="false">Assumptions!$F$10</definedName>
    <definedName function="false" hidden="false" name="BS_AT1" vbProcedure="false">Balance_Sheet!$C$26</definedName>
    <definedName function="false" hidden="false" name="BS_Cash" vbProcedure="false">Balance_Sheet!$C$9</definedName>
    <definedName function="false" hidden="false" name="BS_Check" vbProcedure="false">Balance_Sheet!$C$30</definedName>
    <definedName function="false" hidden="false" name="BS_Corp_Loans" vbProcedure="false">Balance_Sheet!$C$11</definedName>
    <definedName function="false" hidden="false" name="BS_Deposits" vbProcedure="false">Balance_Sheet!$C$20</definedName>
    <definedName function="false" hidden="false" name="BS_HQLA" vbProcedure="false">Balance_Sheet!$C$10</definedName>
    <definedName function="false" hidden="false" name="BS_LLR" vbProcedure="false">Balance_Sheet!$C$14</definedName>
    <definedName function="false" hidden="false" name="BS_Mort_Loans" vbProcedure="false">Balance_Sheet!$C$13</definedName>
    <definedName function="false" hidden="false" name="BS_Net_Loans" vbProcedure="false">Balance_Sheet!$C$15</definedName>
    <definedName function="false" hidden="false" name="BS_Net_PPE" vbProcedure="false">Balance_Sheet!$C$16</definedName>
    <definedName function="false" hidden="false" name="BS_Other_Assets" vbProcedure="false">Balance_Sheet!$C$17</definedName>
    <definedName function="false" hidden="false" name="BS_Other_Liab" vbProcedure="false">Balance_Sheet!$C$23</definedName>
    <definedName function="false" hidden="false" name="BS_Paid_In" vbProcedure="false">Balance_Sheet!$C$25</definedName>
    <definedName function="false" hidden="false" name="BS_RE" vbProcedure="false">Balance_Sheet!$C$27</definedName>
    <definedName function="false" hidden="false" name="BS_Ret_Loans" vbProcedure="false">Balance_Sheet!$C$12</definedName>
    <definedName function="false" hidden="false" name="BS_Sub_Debt" vbProcedure="false">Balance_Sheet!$C$22</definedName>
    <definedName function="false" hidden="false" name="BS_Total_Assets" vbProcedure="false">Balance_Sheet!$C$18</definedName>
    <definedName function="false" hidden="false" name="BS_Total_Equity" vbProcedure="false">Balance_Sheet!$C$28</definedName>
    <definedName function="false" hidden="false" name="BS_Total_LE" vbProcedure="false">Balance_Sheet!$C$29</definedName>
    <definedName function="false" hidden="false" name="BS_Total_Liab" vbProcedure="false">Balance_Sheet!$C$24</definedName>
    <definedName function="false" hidden="false" name="BS_WS_Fund" vbProcedure="false">Balance_Sheet!$C$21</definedName>
    <definedName function="false" hidden="false" name="Capex_Pct" vbProcedure="false">Assumptions!$C$55</definedName>
    <definedName function="false" hidden="false" name="Cap_CET1_Buffer" vbProcedure="false">Capital_RWA!$C$24</definedName>
    <definedName function="false" hidden="false" name="Cap_CET1_Close" vbProcedure="false">Capital_RWA!$C$22</definedName>
    <definedName function="false" hidden="false" name="Cap_CET1_Ratio" vbProcedure="false">Capital_RWA!$C$23</definedName>
    <definedName function="false" hidden="false" name="Cap_Total_RWA" vbProcedure="false">Capital_RWA!$C$16</definedName>
    <definedName function="false" hidden="false" name="CF_CFF" vbProcedure="false">Cash_Flow!$C$24</definedName>
    <definedName function="false" hidden="false" name="CF_CFI" vbProcedure="false">Cash_Flow!$C$18</definedName>
    <definedName function="false" hidden="false" name="CF_CFO" vbProcedure="false">Cash_Flow!$C$15</definedName>
    <definedName function="false" hidden="false" name="CF_Closing" vbProcedure="false">Cash_Flow!$C$28</definedName>
    <definedName function="false" hidden="false" name="Corp_Loan_Growth" vbProcedure="false">Assumptions!$F$22</definedName>
    <definedName function="false" hidden="false" name="Deposit_Cost" vbProcedure="false">Assumptions!$F$42</definedName>
    <definedName function="false" hidden="false" name="Deposit_Growth" vbProcedure="false">Assumptions!$F$41</definedName>
    <definedName function="false" hidden="false" name="Depr_Life" vbProcedure="false">Assumptions!$C$57</definedName>
    <definedName function="false" hidden="false" name="Div_Payout_Ratio" vbProcedure="false">Assumptions!$F$62</definedName>
    <definedName function="false" hidden="false" name="ECL_Corp_Base" vbProcedure="false">Assumptions!$C$26</definedName>
    <definedName function="false" hidden="false" name="ECL_Corp_Mult" vbProcedure="false">Assumptions!$F$30</definedName>
    <definedName function="false" hidden="false" name="ECL_Mort_Base" vbProcedure="false">Assumptions!$C$28</definedName>
    <definedName function="false" hidden="false" name="ECL_Mort_Mult" vbProcedure="false">Assumptions!$F$32</definedName>
    <definedName function="false" hidden="false" name="ECL_Retail_Base" vbProcedure="false">Assumptions!$C$27</definedName>
    <definedName function="false" hidden="false" name="ECL_Retail_Mult" vbProcedure="false">Assumptions!$F$31</definedName>
    <definedName function="false" hidden="false" name="FB_Dep_Avg" vbProcedure="false">Funding_Book!$C$13</definedName>
    <definedName function="false" hidden="false" name="FB_Dep_Close" vbProcedure="false">Funding_Book!$C$12</definedName>
    <definedName function="false" hidden="false" name="FB_Dep_Int" vbProcedure="false">Funding_Book!$C$14</definedName>
    <definedName function="false" hidden="false" name="FB_Total_Int_Exp" vbProcedure="false">Funding_Book!$C$23</definedName>
    <definedName function="false" hidden="false" name="FB_Total_Liabs" vbProcedure="false">Funding_Book!$C$24</definedName>
    <definedName function="false" hidden="false" name="FB_WS_Avg" vbProcedure="false">Funding_Book!$C$19</definedName>
    <definedName function="false" hidden="false" name="FB_WS_Close" vbProcedure="false">Funding_Book!$C$18</definedName>
    <definedName function="false" hidden="false" name="FB_WS_Int" vbProcedure="false">Funding_Book!$C$21</definedName>
    <definedName function="false" hidden="false" name="FB_WS_Rate" vbProcedure="false">Funding_Book!$C$20</definedName>
    <definedName function="false" hidden="false" name="FEE_Fee_Inc" vbProcedure="false">NonInt_Inc!$C$9</definedName>
    <definedName function="false" hidden="false" name="Fee_Growth" vbProcedure="false">Assumptions!$F$15</definedName>
    <definedName function="false" hidden="false" name="FEE_Total" vbProcedure="false">NonInt_Inc!$C$11</definedName>
    <definedName function="false" hidden="false" name="IS_AT1_Coupon" vbProcedure="false">Income_Statement!$C$26</definedName>
    <definedName function="false" hidden="false" name="IS_DA" vbProcedure="false">Income_Statement!$C$13</definedName>
    <definedName function="false" hidden="false" name="IS_Dividends" vbProcedure="false">Income_Statement!$C$25</definedName>
    <definedName function="false" hidden="false" name="IS_EBT" vbProcedure="false">Income_Statement!$C$17</definedName>
    <definedName function="false" hidden="false" name="IS_Fee" vbProcedure="false">Income_Statement!$C$10</definedName>
    <definedName function="false" hidden="false" name="IS_Net_Inc" vbProcedure="false">Income_Statement!$C$24</definedName>
    <definedName function="false" hidden="false" name="IS_NII" vbProcedure="false">Income_Statement!$C$9</definedName>
    <definedName function="false" hidden="false" name="IS_Opex" vbProcedure="false">Income_Statement!$C$12</definedName>
    <definedName function="false" hidden="false" name="IS_PCL" vbProcedure="false">Income_Statement!$C$15</definedName>
    <definedName function="false" hidden="false" name="IS_PPOP" vbProcedure="false">Income_Statement!$C$14</definedName>
    <definedName function="false" hidden="false" name="IS_Tax" vbProcedure="false">Income_Statement!$C$22</definedName>
    <definedName function="false" hidden="false" name="IS_Total_Rev" vbProcedure="false">Income_Statement!$C$11</definedName>
    <definedName function="false" hidden="false" name="IS_WS_Int" vbProcedure="false">Income_Statement!$C$16</definedName>
    <definedName function="false" hidden="false" name="LB_Corp_Avg" vbProcedure="false">Loan_Book!$C$14</definedName>
    <definedName function="false" hidden="false" name="LB_Corp_Close" vbProcedure="false">Loan_Book!$C$13</definedName>
    <definedName function="false" hidden="false" name="LB_Corp_LLR_Close" vbProcedure="false">Loan_Book!$C$18</definedName>
    <definedName function="false" hidden="false" name="LB_Corp_PCL" vbProcedure="false">Loan_Book!$C$16</definedName>
    <definedName function="false" hidden="false" name="LB_Mort_Avg" vbProcedure="false">Loan_Book!$C$36</definedName>
    <definedName function="false" hidden="false" name="LB_Mort_Close" vbProcedure="false">Loan_Book!$C$35</definedName>
    <definedName function="false" hidden="false" name="LB_Mort_LLR_Close" vbProcedure="false">Loan_Book!$C$40</definedName>
    <definedName function="false" hidden="false" name="LB_Mort_PCL" vbProcedure="false">Loan_Book!$C$38</definedName>
    <definedName function="false" hidden="false" name="LB_Ret_Avg" vbProcedure="false">Loan_Book!$C$25</definedName>
    <definedName function="false" hidden="false" name="LB_Ret_Close" vbProcedure="false">Loan_Book!$C$24</definedName>
    <definedName function="false" hidden="false" name="LB_Ret_LLR_Close" vbProcedure="false">Loan_Book!$C$29</definedName>
    <definedName function="false" hidden="false" name="LB_Ret_PCL" vbProcedure="false">Loan_Book!$C$27</definedName>
    <definedName function="false" hidden="false" name="LB_Total_LLR" vbProcedure="false">Loan_Book!$C$44</definedName>
    <definedName function="false" hidden="false" name="LB_Total_Loans" vbProcedure="false">Loan_Book!$C$42</definedName>
    <definedName function="false" hidden="false" name="LB_Total_PCL" vbProcedure="false">Loan_Book!$C$43</definedName>
    <definedName function="false" hidden="false" name="Liab_Reprice_Beta" vbProcedure="false">Assumptions!$F$13</definedName>
    <definedName function="false" hidden="false" name="Model_Start_Year" vbProcedure="false">Assumptions!$C$7</definedName>
    <definedName function="false" hidden="false" name="Mort_Loan_Growth" vbProcedure="false">Assumptions!$F$24</definedName>
    <definedName function="false" hidden="false" name="NII_Avg_EA" vbProcedure="false">NII_Margins!$C$18</definedName>
    <definedName function="false" hidden="false" name="NII_Int_Exp" vbProcedure="false">NII_Margins!$C$16</definedName>
    <definedName function="false" hidden="false" name="NII_NII" vbProcedure="false">NII_Margins!$C$17</definedName>
    <definedName function="false" hidden="false" name="NII_NIM" vbProcedure="false">NII_Margins!$C$19</definedName>
    <definedName function="false" hidden="false" name="NII_Total_Inc" vbProcedure="false">NII_Margins!$C$14</definedName>
    <definedName function="false" hidden="false" name="NOL_Opening" vbProcedure="false">Assumptions!$C$66</definedName>
    <definedName function="false" hidden="false" name="OC_Capex" vbProcedure="false">Opex_Capex!$C$18</definedName>
    <definedName function="false" hidden="false" name="OC_DA" vbProcedure="false">Opex_Capex!$C$20</definedName>
    <definedName function="false" hidden="false" name="OC_Eff_Ratio" vbProcedure="false">Opex_Capex!$C$16</definedName>
    <definedName function="false" hidden="false" name="OC_Net_PPE" vbProcedure="false">Opex_Capex!$C$23</definedName>
    <definedName function="false" hidden="false" name="OC_Total_Opex" vbProcedure="false">Opex_Capex!$C$15</definedName>
    <definedName function="false" hidden="false" name="OC_Total_Rev" vbProcedure="false">Opex_Capex!$C$8</definedName>
    <definedName function="false" hidden="false" name="Open_AT1_Capital" vbProcedure="false">Assumptions!$C$60</definedName>
    <definedName function="false" hidden="false" name="Open_CET1_Capital" vbProcedure="false">Assumptions!$C$59</definedName>
    <definedName function="false" hidden="false" name="Open_Corp_Loans" vbProcedure="false">Assumptions!$C$18</definedName>
    <definedName function="false" hidden="false" name="Open_Deposits" vbProcedure="false">Assumptions!$C$40</definedName>
    <definedName function="false" hidden="false" name="Open_Mort_Loans" vbProcedure="false">Assumptions!$C$20</definedName>
    <definedName function="false" hidden="false" name="Open_Net_PPE" vbProcedure="false">Assumptions!$C$56</definedName>
    <definedName function="false" hidden="false" name="Open_Retail_Loans" vbProcedure="false">Assumptions!$C$19</definedName>
    <definedName function="false" hidden="false" name="Open_Sub_Debt" vbProcedure="false">Assumptions!$C$44</definedName>
    <definedName function="false" hidden="false" name="Open_Total_Assets" vbProcedure="false">Assumptions!$C$8</definedName>
    <definedName function="false" hidden="false" name="Open_Wholesale" vbProcedure="false">Assumptions!$C$43</definedName>
    <definedName function="false" hidden="false" name="Opex_IT_Pct" vbProcedure="false">Assumptions!$C$50</definedName>
    <definedName function="false" hidden="false" name="Opex_Other_Pct" vbProcedure="false">Assumptions!$C$53</definedName>
    <definedName function="false" hidden="false" name="Opex_Premises_Pct" vbProcedure="false">Assumptions!$C$51</definedName>
    <definedName function="false" hidden="false" name="Opex_Reg_Pct" vbProcedure="false">Assumptions!$C$52</definedName>
    <definedName function="false" hidden="false" name="Opex_Staff_Pct" vbProcedure="false">Assumptions!$C$49</definedName>
    <definedName function="false" hidden="false" name="Rate_Shock_Bps" vbProcedure="false">Assumptions!$F$11</definedName>
    <definedName function="false" hidden="false" name="Retail_Loan_Growth" vbProcedure="false">Assumptions!$F$23</definedName>
    <definedName function="false" hidden="false" name="RWA_Stress_Overlay" vbProcedure="false">Assumptions!$F$16</definedName>
    <definedName function="false" hidden="false" name="RW_Corp" vbProcedure="false">Assumptions!$C$68</definedName>
    <definedName function="false" hidden="false" name="RW_HQLA" vbProcedure="false">Assumptions!$C$71</definedName>
    <definedName function="false" hidden="false" name="RW_Mort" vbProcedure="false">Assumptions!$C$70</definedName>
    <definedName function="false" hidden="false" name="RW_Opnl_Pct" vbProcedure="false">Assumptions!$C$72</definedName>
    <definedName function="false" hidden="false" name="RW_Retail" vbProcedure="false">Assumptions!$C$69</definedName>
    <definedName function="false" hidden="false" name="Scenario_Toggle" vbProcedure="false">Assumptions!$C$5</definedName>
    <definedName function="false" hidden="false" name="Target_CET1_Ratio" vbProcedure="false">Assumptions!$C$61</definedName>
    <definedName function="false" hidden="false" name="Tax_Rate" vbProcedure="false">Assumptions!$C$65</definedName>
    <definedName function="false" hidden="false" name="Wholesale_Spread" vbProcedure="false">Assumptions!$F$14</definedName>
    <definedName function="false" hidden="false" name="Yield_Cash" vbProcedure="false">Assumptions!$F$38</definedName>
    <definedName function="false" hidden="false" name="Yield_Corp" vbProcedure="false">Assumptions!$F$34</definedName>
    <definedName function="false" hidden="false" name="Yield_HQLA" vbProcedure="false">Assumptions!$F$37</definedName>
    <definedName function="false" hidden="false" name="Yield_Mort" vbProcedure="false">Assumptions!$F$36</definedName>
    <definedName function="false" hidden="false" name="Yield_Retail" vbProcedure="false">Assumptions!$F$35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<sst xmlns="http://schemas.openxmlformats.org/spreadsheetml/2006/main" count="413" uniqueCount="320">
  <si>
    <t xml:space="preserve">Bank Portfolio Stress-Testing Model</t>
  </si>
  <si>
    <t xml:space="preserve">FINAMODEL.com</t>
  </si>
  <si>
    <t xml:space="preserve">Base / Adverse / Severely Adverse  ·  5-Year Projection</t>
  </si>
  <si>
    <t xml:space="preserve">Model Date:</t>
  </si>
  <si>
    <t xml:space="preserve">Projection Start:</t>
  </si>
  <si>
    <t xml:space="preserve">Scenarios:</t>
  </si>
  <si>
    <t xml:space="preserve">Base / Adverse / Severely Adverse</t>
  </si>
  <si>
    <t xml:space="preserve">Currency:</t>
  </si>
  <si>
    <t xml:space="preserve">USD millions</t>
  </si>
  <si>
    <t xml:space="preserve">Toggle</t>
  </si>
  <si>
    <t xml:space="preserve">1</t>
  </si>
  <si>
    <t xml:space="preserve">2</t>
  </si>
  <si>
    <t xml:space="preserve">3</t>
  </si>
  <si>
    <t xml:space="preserve">Label</t>
  </si>
  <si>
    <t xml:space="preserve">Base</t>
  </si>
  <si>
    <t xml:space="preserve">Adverse</t>
  </si>
  <si>
    <t xml:space="preserve">Severely Adverse</t>
  </si>
  <si>
    <t xml:space="preserve">GDP shock Y1</t>
  </si>
  <si>
    <t xml:space="preserve">+2.2%</t>
  </si>
  <si>
    <t xml:space="preserve">-1.5%</t>
  </si>
  <si>
    <t xml:space="preserve">-4.0%</t>
  </si>
  <si>
    <t xml:space="preserve">Rate shock (bps)</t>
  </si>
  <si>
    <t xml:space="preserve">+75</t>
  </si>
  <si>
    <t xml:space="preserve">-100</t>
  </si>
  <si>
    <t xml:space="preserve">-200</t>
  </si>
  <si>
    <t xml:space="preserve">Unempl. spike (pp)</t>
  </si>
  <si>
    <t xml:space="preserve">0</t>
  </si>
  <si>
    <t xml:space="preserve">+2.5</t>
  </si>
  <si>
    <t xml:space="preserve">+5.0</t>
  </si>
  <si>
    <t xml:space="preserve">See Assumptions sheet (cell C5) to switch scenarios.</t>
  </si>
  <si>
    <t xml:space="preserve">About this model</t>
  </si>
  <si>
    <t xml:space="preserve">Model credit portfolio stress tests to see tail risk and expected loss without treating stress as a separate exercise from risk management. The model applies macroeconomic shock scenarios (Base / Adverse / Severely Adverse) with explicit GDP, rate, unemployment, and house price parameters. It then transmits those shocks to loan-level probability of default (PD) via stress multipliers, calculates expected credit losses (ECL) by segment (corporate, retail, mortgage), and outputs portfolio loss reserve (PCL). The model generates three-scenario outputs: NII (net interest income under rate shocks), PCL (provisions under credit stress), PPOP (pre-provision operating profit), and CET1 capital ratio (regulatory capital).
Key mechanics: NII is sensitive to rate repricing speed (assets reprice faster than liabilities in rate rises, creating NIM compression); PCL multipliers are scenario-linked (corporate ECL at 4.5x base rate under severe stress, mortgages at 3.0x due to collateral); RWA increases under stress (risk weights move 10-20% higher); and capital (CET1) falls as both losses reduce retained earnings and RWA growth consumes available capital. The model includes covenant tracking (DSCR 1.2x+, leverage limits) and dividend suspension in stressed scenarios (regulatory requirement). Sensitivity tables show CET1 ratio across a range of ECL multipliers, giving regulators confidence in capital adequacy.
Use cases: bank capital planning, regulatory DFAST/EBA submissions, stress testing for corporate credit committees, and evaluating concentration risk in large loan books. Works with scenario publishing (Fed, ECB, PRA parameters).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</si>
  <si>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</si>
  <si>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</si>
  <si>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</si>
  <si>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</si>
  <si>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</si>
  <si>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Scenario-sensitive rows: Col F = CHOOSE(Toggle, Base, Adverse, Sev Adv)</t>
  </si>
  <si>
    <t xml:space="preserve">Assumption</t>
  </si>
  <si>
    <t xml:space="preserve">Active</t>
  </si>
  <si>
    <t xml:space="preserve">Unit</t>
  </si>
  <si>
    <t xml:space="preserve">Scenario  (1=Base, 2=Adverse, 3=Sev. Adverse)</t>
  </si>
  <si>
    <t xml:space="preserve">Model Setup</t>
  </si>
  <si>
    <t xml:space="preserve">Model Start Year</t>
  </si>
  <si>
    <t xml:space="preserve">year</t>
  </si>
  <si>
    <t xml:space="preserve">Opening Total Assets</t>
  </si>
  <si>
    <t xml:space="preserve">$m</t>
  </si>
  <si>
    <t xml:space="preserve">Macro Parameters</t>
  </si>
  <si>
    <t xml:space="preserve">Base Rate (policy)</t>
  </si>
  <si>
    <t xml:space="preserve">%</t>
  </si>
  <si>
    <t xml:space="preserve">Rate Shock</t>
  </si>
  <si>
    <t xml:space="preserve">bps</t>
  </si>
  <si>
    <t xml:space="preserve">Asset Repricing Beta</t>
  </si>
  <si>
    <t xml:space="preserve">Liability Repricing Beta</t>
  </si>
  <si>
    <t xml:space="preserve">Wholesale Spread vs Base</t>
  </si>
  <si>
    <t xml:space="preserve">Fee Income Growth</t>
  </si>
  <si>
    <t xml:space="preserve">% p.a.</t>
  </si>
  <si>
    <t xml:space="preserve">RWA Stress Overlay</t>
  </si>
  <si>
    <t xml:space="preserve">% credit RWA</t>
  </si>
  <si>
    <t xml:space="preserve">Loan Book — Opening Balances</t>
  </si>
  <si>
    <t xml:space="preserve">Opening Corp Loans</t>
  </si>
  <si>
    <t xml:space="preserve">Opening Retail Loans</t>
  </si>
  <si>
    <t xml:space="preserve">Opening Mortgage Loans</t>
  </si>
  <si>
    <t xml:space="preserve">Loan Growth</t>
  </si>
  <si>
    <t xml:space="preserve">Corp Loan Growth</t>
  </si>
  <si>
    <t xml:space="preserve">Retail Loan Growth</t>
  </si>
  <si>
    <t xml:space="preserve">Mortgage Loan Growth</t>
  </si>
  <si>
    <t xml:space="preserve">ECL — Base Rates</t>
  </si>
  <si>
    <t xml:space="preserve">ECL Corp (base)</t>
  </si>
  <si>
    <t xml:space="preserve">% avg loans</t>
  </si>
  <si>
    <t xml:space="preserve">ECL Retail (base)</t>
  </si>
  <si>
    <t xml:space="preserve">ECL Mortgage (base)</t>
  </si>
  <si>
    <t xml:space="preserve">ECL Stress Multipliers</t>
  </si>
  <si>
    <t xml:space="preserve">ECL Corp Multiplier</t>
  </si>
  <si>
    <t xml:space="preserve">x</t>
  </si>
  <si>
    <t xml:space="preserve">ECL Retail Multiplier</t>
  </si>
  <si>
    <t xml:space="preserve">ECL Mortgage Multiplier</t>
  </si>
  <si>
    <t xml:space="preserve">Asset Yields (post-shock)</t>
  </si>
  <si>
    <t xml:space="preserve">Yield: Corp Loans</t>
  </si>
  <si>
    <t xml:space="preserve">Yield: Retail Loans</t>
  </si>
  <si>
    <t xml:space="preserve">Yield: Mortgages</t>
  </si>
  <si>
    <t xml:space="preserve">Yield: HQLA Securities</t>
  </si>
  <si>
    <t xml:space="preserve">Yield: Cash &amp; Reserves</t>
  </si>
  <si>
    <t xml:space="preserve">Funding</t>
  </si>
  <si>
    <t xml:space="preserve">Opening Customer Deposits</t>
  </si>
  <si>
    <t xml:space="preserve">Deposit Growth</t>
  </si>
  <si>
    <t xml:space="preserve">Deposit Cost</t>
  </si>
  <si>
    <t xml:space="preserve">Opening Wholesale Funding</t>
  </si>
  <si>
    <t xml:space="preserve">Opening Sub Debt / Tier 2</t>
  </si>
  <si>
    <t xml:space="preserve">Fee Income</t>
  </si>
  <si>
    <t xml:space="preserve">Fee Income — Year 0 base</t>
  </si>
  <si>
    <t xml:space="preserve">Opex (% of total revenue)</t>
  </si>
  <si>
    <t xml:space="preserve">Staff Costs</t>
  </si>
  <si>
    <t xml:space="preserve">IT &amp; Technology</t>
  </si>
  <si>
    <t xml:space="preserve">Premises &amp; Equipment</t>
  </si>
  <si>
    <t xml:space="preserve">Regulatory &amp; Compliance</t>
  </si>
  <si>
    <t xml:space="preserve">Other Opex</t>
  </si>
  <si>
    <t xml:space="preserve">Capex &amp; Depreciation</t>
  </si>
  <si>
    <t xml:space="preserve">Capex (% revenue)</t>
  </si>
  <si>
    <t xml:space="preserve">Opening Net PP&amp;E</t>
  </si>
  <si>
    <t xml:space="preserve">Depreciation Life</t>
  </si>
  <si>
    <t xml:space="preserve">years</t>
  </si>
  <si>
    <t xml:space="preserve">Capital</t>
  </si>
  <si>
    <t xml:space="preserve">Opening CET1 Capital</t>
  </si>
  <si>
    <t xml:space="preserve">Opening AT1 Capital</t>
  </si>
  <si>
    <t xml:space="preserve">Target CET1 Ratio</t>
  </si>
  <si>
    <t xml:space="preserve">Dividend Payout Ratio</t>
  </si>
  <si>
    <t xml:space="preserve">AT1 Coupon Rate</t>
  </si>
  <si>
    <t xml:space="preserve">Tax</t>
  </si>
  <si>
    <t xml:space="preserve">Corporate Tax Rate</t>
  </si>
  <si>
    <t xml:space="preserve">Opening NOL</t>
  </si>
  <si>
    <t xml:space="preserve">RWA Risk Weights</t>
  </si>
  <si>
    <t xml:space="preserve">RW: Corporate Loans</t>
  </si>
  <si>
    <t xml:space="preserve">RW: Retail Loans</t>
  </si>
  <si>
    <t xml:space="preserve">RW: Mortgages</t>
  </si>
  <si>
    <t xml:space="preserve">RW: HQLA</t>
  </si>
  <si>
    <t xml:space="preserve">RW Operational (% credit)</t>
  </si>
  <si>
    <t xml:space="preserve">Loan Book</t>
  </si>
  <si>
    <t xml:space="preserve">Three segments — Corp, Retail, Mortgage. PCL = avg balance × ECL rate × stress multiplier.</t>
  </si>
  <si>
    <t xml:space="preserve">Year</t>
  </si>
  <si>
    <t xml:space="preserve">Year #</t>
  </si>
  <si>
    <t xml:space="preserve">Corporate Loans</t>
  </si>
  <si>
    <t xml:space="preserve">Corporate Opening</t>
  </si>
  <si>
    <t xml:space="preserve">Corporate Originations</t>
  </si>
  <si>
    <t xml:space="preserve">Corporate Repayments</t>
  </si>
  <si>
    <t xml:space="preserve">Corporate Write-offs</t>
  </si>
  <si>
    <t xml:space="preserve">Corporate Closing</t>
  </si>
  <si>
    <t xml:space="preserve">Corporate Avg Balance</t>
  </si>
  <si>
    <t xml:space="preserve">  Corporate ECL Rate</t>
  </si>
  <si>
    <t xml:space="preserve">Corporate PCL Charge</t>
  </si>
  <si>
    <t xml:space="preserve">  Corporate LLR Opening</t>
  </si>
  <si>
    <t xml:space="preserve">  Corporate LLR Closing</t>
  </si>
  <si>
    <t xml:space="preserve">Retail Loans</t>
  </si>
  <si>
    <t xml:space="preserve">Retail Opening</t>
  </si>
  <si>
    <t xml:space="preserve">Retail Originations</t>
  </si>
  <si>
    <t xml:space="preserve">Retail Repayments</t>
  </si>
  <si>
    <t xml:space="preserve">Retail Write-offs</t>
  </si>
  <si>
    <t xml:space="preserve">Retail Closing</t>
  </si>
  <si>
    <t xml:space="preserve">Retail Avg Balance</t>
  </si>
  <si>
    <t xml:space="preserve">  Retail ECL Rate</t>
  </si>
  <si>
    <t xml:space="preserve">Retail PCL Charge</t>
  </si>
  <si>
    <t xml:space="preserve">  Retail LLR Opening</t>
  </si>
  <si>
    <t xml:space="preserve">  Retail LLR Closing</t>
  </si>
  <si>
    <t xml:space="preserve">Mortgage Loans</t>
  </si>
  <si>
    <t xml:space="preserve">Mortgage Opening</t>
  </si>
  <si>
    <t xml:space="preserve">Mortgage Originations</t>
  </si>
  <si>
    <t xml:space="preserve">Mortgage Repayments</t>
  </si>
  <si>
    <t xml:space="preserve">Mortgage Write-offs</t>
  </si>
  <si>
    <t xml:space="preserve">Mortgage Closing</t>
  </si>
  <si>
    <t xml:space="preserve">Mortgage Avg Balance</t>
  </si>
  <si>
    <t xml:space="preserve">  Mortgage ECL Rate</t>
  </si>
  <si>
    <t xml:space="preserve">Mortgage PCL Charge</t>
  </si>
  <si>
    <t xml:space="preserve">  Mortgage LLR Opening</t>
  </si>
  <si>
    <t xml:space="preserve">  Mortgage LLR Closing</t>
  </si>
  <si>
    <t xml:space="preserve">Totals</t>
  </si>
  <si>
    <t xml:space="preserve">Total Gross Loans</t>
  </si>
  <si>
    <t xml:space="preserve">Total PCL Charge</t>
  </si>
  <si>
    <t xml:space="preserve">Total LLR Closing</t>
  </si>
  <si>
    <t xml:space="preserve">Funding Book</t>
  </si>
  <si>
    <t xml:space="preserve">Customer deposits and wholesale funding. Wholesale balance held flat — actual need flexed via the BS plug.</t>
  </si>
  <si>
    <t xml:space="preserve">Customer Deposits</t>
  </si>
  <si>
    <t xml:space="preserve">Deposit Opening</t>
  </si>
  <si>
    <t xml:space="preserve">Deposit Inflows</t>
  </si>
  <si>
    <t xml:space="preserve">Deposit Outflows</t>
  </si>
  <si>
    <t xml:space="preserve">Deposit Closing</t>
  </si>
  <si>
    <t xml:space="preserve">Deposit Avg Balance</t>
  </si>
  <si>
    <t xml:space="preserve">Deposit Interest Expense</t>
  </si>
  <si>
    <t xml:space="preserve">Wholesale Funding</t>
  </si>
  <si>
    <t xml:space="preserve">Wholesale Opening</t>
  </si>
  <si>
    <t xml:space="preserve">Wholesale Net Issuance</t>
  </si>
  <si>
    <t xml:space="preserve">Wholesale Closing</t>
  </si>
  <si>
    <t xml:space="preserve">Wholesale Avg Balance</t>
  </si>
  <si>
    <t xml:space="preserve">Wholesale Rate</t>
  </si>
  <si>
    <t xml:space="preserve">Wholesale Interest Expense</t>
  </si>
  <si>
    <t xml:space="preserve">Total Interest Expense</t>
  </si>
  <si>
    <t xml:space="preserve">Total Interest-Bearing Liabilities</t>
  </si>
  <si>
    <t xml:space="preserve">Non-Interest Income</t>
  </si>
  <si>
    <t xml:space="preserve">Fee income compounds at Fee_Growth p.a. from base.</t>
  </si>
  <si>
    <t xml:space="preserve">Other Non-Interest Income</t>
  </si>
  <si>
    <t xml:space="preserve">Total Non-Interest Income</t>
  </si>
  <si>
    <t xml:space="preserve">NII &amp; Margins</t>
  </si>
  <si>
    <t xml:space="preserve">Interest income from each segment × yield. NIM = NII / Avg Earning Assets.</t>
  </si>
  <si>
    <t xml:space="preserve">Interest Income</t>
  </si>
  <si>
    <t xml:space="preserve">Corporate</t>
  </si>
  <si>
    <t xml:space="preserve">Retail</t>
  </si>
  <si>
    <t xml:space="preserve">Mortgages</t>
  </si>
  <si>
    <t xml:space="preserve">HQLA Securities</t>
  </si>
  <si>
    <t xml:space="preserve">Cash &amp; Reserves</t>
  </si>
  <si>
    <t xml:space="preserve">Total Interest Income</t>
  </si>
  <si>
    <t xml:space="preserve">Interest Expense</t>
  </si>
  <si>
    <t xml:space="preserve">NII</t>
  </si>
  <si>
    <t xml:space="preserve">Avg Earning Assets</t>
  </si>
  <si>
    <t xml:space="preserve">NIM</t>
  </si>
  <si>
    <t xml:space="preserve">Opex &amp; Capex</t>
  </si>
  <si>
    <t xml:space="preserve">Opex driven as % of total revenue. Capex 3% of revenue. Straight-line depreciation.</t>
  </si>
  <si>
    <t xml:space="preserve">Total Revenue (NII + Fee)</t>
  </si>
  <si>
    <t xml:space="preserve">Total Opex</t>
  </si>
  <si>
    <t xml:space="preserve">Efficiency Ratio</t>
  </si>
  <si>
    <t xml:space="preserve">Capex</t>
  </si>
  <si>
    <t xml:space="preserve">  Accumulated Depr (Open)</t>
  </si>
  <si>
    <t xml:space="preserve">  D&amp;A Charge</t>
  </si>
  <si>
    <t xml:space="preserve">  Accumulated Depr (Close)</t>
  </si>
  <si>
    <t xml:space="preserve">Gross PP&amp;E</t>
  </si>
  <si>
    <t xml:space="preserve">Net PP&amp;E</t>
  </si>
  <si>
    <t xml:space="preserve">Income Statement</t>
  </si>
  <si>
    <t xml:space="preserve">NII + Fees − Opex − D&amp;A = PPOP. PPOP − PCL = EBT. NOL carry-forward applied.</t>
  </si>
  <si>
    <t xml:space="preserve">Fee &amp; Other Income</t>
  </si>
  <si>
    <t xml:space="preserve">Total Revenue</t>
  </si>
  <si>
    <t xml:space="preserve">D&amp;A</t>
  </si>
  <si>
    <t xml:space="preserve">PPOP</t>
  </si>
  <si>
    <t xml:space="preserve">PCL Charge</t>
  </si>
  <si>
    <t xml:space="preserve">Wholesale Interest Expense (in NII)</t>
  </si>
  <si>
    <t xml:space="preserve">EBT (pre-tax)</t>
  </si>
  <si>
    <t xml:space="preserve">  NOL Opening</t>
  </si>
  <si>
    <t xml:space="preserve">  NOL Addition (loss)</t>
  </si>
  <si>
    <t xml:space="preserve">  NOL Utilised</t>
  </si>
  <si>
    <t xml:space="preserve">  Taxable Income</t>
  </si>
  <si>
    <t xml:space="preserve">  NOL Closing</t>
  </si>
  <si>
    <t xml:space="preserve">Net Income</t>
  </si>
  <si>
    <t xml:space="preserve">Dividends</t>
  </si>
  <si>
    <t xml:space="preserve">AT1 Coupon</t>
  </si>
  <si>
    <t xml:space="preserve">Balance Sheet</t>
  </si>
  <si>
    <t xml:space="preserve">Wholesale Funding is the BS plug — Total L&amp;E = Total Assets by construction.</t>
  </si>
  <si>
    <t xml:space="preserve">Assets</t>
  </si>
  <si>
    <t xml:space="preserve">Loan Loss Reserve</t>
  </si>
  <si>
    <t xml:space="preserve">Net Loans</t>
  </si>
  <si>
    <t xml:space="preserve">Other Assets</t>
  </si>
  <si>
    <t xml:space="preserve">TOTAL ASSETS</t>
  </si>
  <si>
    <t xml:space="preserve">Liabilities &amp; Equity</t>
  </si>
  <si>
    <t xml:space="preserve">Wholesale Funding (plug)</t>
  </si>
  <si>
    <t xml:space="preserve">Sub Debt / Tier 2</t>
  </si>
  <si>
    <t xml:space="preserve">Other Liabilities</t>
  </si>
  <si>
    <t xml:space="preserve">Total Liabilities</t>
  </si>
  <si>
    <t xml:space="preserve">Paid-in Capital</t>
  </si>
  <si>
    <t xml:space="preserve">AT1 Capital</t>
  </si>
  <si>
    <t xml:space="preserve">Retained Earnings</t>
  </si>
  <si>
    <t xml:space="preserve">Total Equity</t>
  </si>
  <si>
    <t xml:space="preserve">TOTAL LIABILITIES &amp; EQUITY</t>
  </si>
  <si>
    <t xml:space="preserve">Balance Check (TA − TL&amp;E)</t>
  </si>
  <si>
    <t xml:space="preserve">Balanced?</t>
  </si>
  <si>
    <t xml:space="preserve">Capital &amp; RWA</t>
  </si>
  <si>
    <t xml:space="preserve">CET1 = Open + NI − Dividends + AT1 Coupon. CET1 ratio = CET1 / RWA. RWA stress overlay applied to credit RWA.</t>
  </si>
  <si>
    <t xml:space="preserve">Risk-Weighted Assets</t>
  </si>
  <si>
    <t xml:space="preserve">Corp Credit RWA</t>
  </si>
  <si>
    <t xml:space="preserve">Retail Credit RWA</t>
  </si>
  <si>
    <t xml:space="preserve">Mortgage Credit RWA</t>
  </si>
  <si>
    <t xml:space="preserve">HQLA RWA</t>
  </si>
  <si>
    <t xml:space="preserve">Total Credit RWA</t>
  </si>
  <si>
    <t xml:space="preserve">Operational RWA</t>
  </si>
  <si>
    <t xml:space="preserve">Total RWA</t>
  </si>
  <si>
    <t xml:space="preserve">CET1 Capital Roll-Forward</t>
  </si>
  <si>
    <t xml:space="preserve">CET1 Opening</t>
  </si>
  <si>
    <t xml:space="preserve">  + Net Income</t>
  </si>
  <si>
    <t xml:space="preserve">  − Dividends</t>
  </si>
  <si>
    <t xml:space="preserve">  + AT1 Coupon (negative)</t>
  </si>
  <si>
    <t xml:space="preserve">CET1 Closing</t>
  </si>
  <si>
    <t xml:space="preserve">CET1 Ratio</t>
  </si>
  <si>
    <t xml:space="preserve">Capital Buffer (CET1 − Target)</t>
  </si>
  <si>
    <t xml:space="preserve">Dividend Capacity</t>
  </si>
  <si>
    <t xml:space="preserve">Cash Flow</t>
  </si>
  <si>
    <t xml:space="preserve">Indirect method. CFO + CFI + CFF = Net Change in Cash. Verifies against BS.</t>
  </si>
  <si>
    <t xml:space="preserve">Operating</t>
  </si>
  <si>
    <t xml:space="preserve">+ PCL (non-cash)</t>
  </si>
  <si>
    <t xml:space="preserve">+ D&amp;A (non-cash)</t>
  </si>
  <si>
    <t xml:space="preserve">Δ HQLA Securities</t>
  </si>
  <si>
    <t xml:space="preserve">Δ Other Assets</t>
  </si>
  <si>
    <t xml:space="preserve">Δ Other Liabilities</t>
  </si>
  <si>
    <t xml:space="preserve">CFO</t>
  </si>
  <si>
    <t xml:space="preserve">Investing</t>
  </si>
  <si>
    <t xml:space="preserve">CFI</t>
  </si>
  <si>
    <t xml:space="preserve">Financing</t>
  </si>
  <si>
    <t xml:space="preserve">Δ Deposits</t>
  </si>
  <si>
    <t xml:space="preserve">Δ Wholesale Funding</t>
  </si>
  <si>
    <t xml:space="preserve">Dividends Paid</t>
  </si>
  <si>
    <t xml:space="preserve">AT1 Coupon Paid</t>
  </si>
  <si>
    <t xml:space="preserve">CFF</t>
  </si>
  <si>
    <t xml:space="preserve">Cash Opening</t>
  </si>
  <si>
    <t xml:space="preserve">Net Change in Cash</t>
  </si>
  <si>
    <t xml:space="preserve">Cash Closing</t>
  </si>
  <si>
    <t xml:space="preserve">Cash Recon vs BS</t>
  </si>
  <si>
    <t xml:space="preserve">Scenarios &amp; Sensitivity</t>
  </si>
  <si>
    <t xml:space="preserve">Outputs reflect the currently-active scenario (toggle on Assumptions sheet).</t>
  </si>
  <si>
    <t xml:space="preserve">Active Scenario:</t>
  </si>
  <si>
    <t xml:space="preserve">Capital Buffer</t>
  </si>
  <si>
    <t xml:space="preserve">ECL Sensitivity Scaffold (Year 3 CET1 Ratio)</t>
  </si>
  <si>
    <t xml:space="preserve">Output cell:</t>
  </si>
  <si>
    <t xml:space="preserve">Row input cell (Data Table):</t>
  </si>
  <si>
    <t xml:space="preserve">Assumptions!$C$30 (ECL_Corp_Mult)</t>
  </si>
  <si>
    <t xml:space="preserve">ECL Multiplier</t>
  </si>
  <si>
    <t xml:space="preserve">Year 3 CET1</t>
  </si>
  <si>
    <t xml:space="preserve">Apply Excel Data Table here: select B26:C34, Data → What-If → Data Table, Column input cell = Assumptions!$C$30. Set ECL_Retail_Mult and ECL_Mort_Mult in parallel manually for joint sensitivity.</t>
  </si>
  <si>
    <t xml:space="preserve">Checks</t>
  </si>
  <si>
    <t xml:space="preserve">Per-year structural checks. All cells should evaluate TRUE.</t>
  </si>
  <si>
    <t xml:space="preserve">BS balances</t>
  </si>
  <si>
    <t xml:space="preserve">CET1 ≥ 4.5% floor</t>
  </si>
  <si>
    <t xml:space="preserve">CET1 ≥ 7% MDA trigger</t>
  </si>
  <si>
    <t xml:space="preserve">NIM in [0.5%, 5.5%]</t>
  </si>
  <si>
    <t xml:space="preserve">LLR / Loans ≥ 0.5%</t>
  </si>
  <si>
    <t xml:space="preserve">LDR ≤ 1.20x</t>
  </si>
  <si>
    <t xml:space="preserve">No dividend if CET1&lt;7%</t>
  </si>
  <si>
    <t xml:space="preserve">LLR ≥ 0</t>
  </si>
  <si>
    <t xml:space="preserve">Wholesale funding ≥ 0</t>
  </si>
  <si>
    <t xml:space="preserve">Scenario toggle valid</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</si>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</sst>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dd\ mmm\ yyyy"/>
    <numFmt numFmtId="166" formatCode="0"/>
    <numFmt numFmtId="167" formatCode="@"/>
    <numFmt numFmtId="168" formatCode="#,##0.00"/>
    <numFmt numFmtId="169" formatCode="0.00%"/>
    <numFmt numFmtId="170" formatCode="0.00\x"/>
  </numFmts>
  <fonts count="25">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0"/>
      <color theme="0"/>
      <name val="Arial"/>
      <family val="0"/>
      <charset val="1"/>
    </font>
    <font>
      <b val="true"/>
      <sz val="10"/>
      <name val="Arial"/>
      <family val="0"/>
      <charset val="1"/>
    </font>
    <font>
      <sz val="10"/>
      <name val="Arial"/>
      <family val="0"/>
      <charset val="1"/>
    </font>
    <font>
      <i val="true"/>
      <sz val="10"/>
      <color rgb="FF595959"/>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6"/>
      <color theme="0"/>
      <name val="Arial"/>
      <family val="0"/>
      <charset val="1"/>
    </font>
    <font>
      <sz val="10"/>
      <color theme="3"/>
      <name val="Arial"/>
      <family val="0"/>
      <charset val="1"/>
    </font>
    <font>
      <b val="true"/>
      <sz val="10"/>
      <color rgb="FFC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0">
    <fill>
      <patternFill patternType="none"/>
    </fill>
    <fill>
      <patternFill patternType="gray125"/>
    </fill>
    <fill>
      <patternFill patternType="solid">
        <fgColor theme="3"/>
        <bgColor rgb="FF1F4E79"/>
      </patternFill>
    </fill>
    <fill>
      <patternFill patternType="solid">
        <fgColor theme="3" tint="0.8"/>
        <bgColor rgb="FFD9E1F2"/>
      </patternFill>
    </fill>
    <fill>
      <patternFill patternType="solid">
        <fgColor rgb="FFD6E4F0"/>
        <bgColor rgb="FFD9E1F2"/>
      </patternFill>
    </fill>
    <fill>
      <patternFill patternType="solid">
        <fgColor rgb="FFD9E1F2"/>
        <bgColor rgb="FFD6E4F0"/>
      </patternFill>
    </fill>
    <fill>
      <patternFill patternType="solid">
        <fgColor rgb="FFE8F0FE"/>
        <bgColor rgb="FFF2F2F2"/>
      </patternFill>
    </fill>
    <fill>
      <patternFill patternType="solid">
        <fgColor rgb="FFE2EFDA"/>
        <bgColor rgb="FFF2F2F2"/>
      </patternFill>
    </fill>
    <fill>
      <patternFill patternType="solid">
        <fgColor rgb="FF1F4E79"/>
        <bgColor rgb="FF1F497D"/>
      </patternFill>
    </fill>
    <fill>
      <patternFill patternType="solid">
        <fgColor rgb="FFF2F2F2"/>
        <bgColor rgb="FFE8F0FE"/>
      </patternFill>
    </fill>
  </fills>
  <borders count="5">
    <border diagonalUp="false" diagonalDown="false">
      <left/>
      <right/>
      <top/>
      <bottom/>
      <diagonal/>
    </border>
    <border diagonalUp="false" diagonalDown="false">
      <left/>
      <right/>
      <top/>
      <bottom style="thin">
        <color rgb="FF808080"/>
      </bottom>
      <diagonal/>
    </border>
    <border diagonalUp="false" diagonalDown="false">
      <left/>
      <right/>
      <top style="thin">
        <color rgb="FF808080"/>
      </top>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1"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1" shrinkToFit="false"/>
      <protection locked="true" hidden="false"/>
    </xf>
    <xf numFmtId="164" fontId="8" fillId="0" borderId="0" xfId="0" applyFont="true" applyBorder="false" applyAlignment="true" applyProtection="false">
      <alignment horizontal="left" vertical="center" textRotation="0" wrapText="false" indent="1" shrinkToFit="false"/>
      <protection locked="true" hidden="false"/>
    </xf>
    <xf numFmtId="165" fontId="9" fillId="0" borderId="0" xfId="0" applyFont="true" applyBorder="false" applyAlignment="true" applyProtection="false">
      <alignment horizontal="left" vertical="center" textRotation="0" wrapText="false" indent="1" shrinkToFit="false"/>
      <protection locked="true" hidden="false"/>
    </xf>
    <xf numFmtId="166" fontId="9" fillId="0" borderId="0" xfId="0" applyFont="true" applyBorder="false" applyAlignment="true" applyProtection="false">
      <alignment horizontal="left" vertical="center" textRotation="0" wrapText="false" indent="1" shrinkToFit="false"/>
      <protection locked="true" hidden="false"/>
    </xf>
    <xf numFmtId="167" fontId="9" fillId="0" borderId="0" xfId="0" applyFont="true" applyBorder="false" applyAlignment="true" applyProtection="false">
      <alignment horizontal="left" vertical="center" textRotation="0" wrapText="false" indent="1" shrinkToFit="false"/>
      <protection locked="true" hidden="false"/>
    </xf>
    <xf numFmtId="164" fontId="8" fillId="3" borderId="1" xfId="0" applyFont="true" applyBorder="true" applyAlignment="true" applyProtection="false">
      <alignment horizontal="left" vertical="center" textRotation="0" wrapText="false" indent="1" shrinkToFit="false"/>
      <protection locked="true" hidden="false"/>
    </xf>
    <xf numFmtId="164" fontId="8" fillId="3" borderId="1"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1"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64" fontId="11" fillId="4" borderId="0" xfId="0" applyFont="true" applyBorder="false" applyAlignment="true" applyProtection="false">
      <alignment horizontal="left" vertical="center"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2" borderId="0" xfId="0" applyFont="true" applyBorder="false" applyAlignment="true" applyProtection="false">
      <alignment horizontal="left" vertical="center" textRotation="0" wrapText="false" indent="1" shrinkToFit="false"/>
      <protection locked="true" hidden="false"/>
    </xf>
    <xf numFmtId="164" fontId="8" fillId="5" borderId="1" xfId="0" applyFont="true" applyBorder="true" applyAlignment="true" applyProtection="false">
      <alignment horizontal="center" vertical="center" textRotation="0" wrapText="false" indent="0" shrinkToFit="false"/>
      <protection locked="true" hidden="false"/>
    </xf>
    <xf numFmtId="166" fontId="17" fillId="6" borderId="0" xfId="0" applyFont="true" applyBorder="false" applyAlignment="true" applyProtection="false">
      <alignment horizontal="center" vertical="center" textRotation="0" wrapText="false" indent="0" shrinkToFit="false"/>
      <protection locked="true" hidden="false"/>
    </xf>
    <xf numFmtId="166" fontId="9" fillId="0" borderId="0" xfId="0" applyFont="true" applyBorder="false" applyAlignment="true" applyProtection="false">
      <alignment horizontal="center" vertical="center" textRotation="0" wrapText="false" indent="0" shrinkToFit="false"/>
      <protection locked="true" hidden="false"/>
    </xf>
    <xf numFmtId="164" fontId="8" fillId="5" borderId="0" xfId="0" applyFont="true" applyBorder="false" applyAlignment="true" applyProtection="false">
      <alignment horizontal="left" vertical="center" textRotation="0" wrapText="false" indent="1" shrinkToFit="false"/>
      <protection locked="true" hidden="false"/>
    </xf>
    <xf numFmtId="164" fontId="12" fillId="5" borderId="0" xfId="0" applyFont="true" applyBorder="false" applyAlignment="false" applyProtection="false">
      <alignment horizontal="general" vertical="bottom" textRotation="0" wrapText="false" indent="0" shrinkToFit="false"/>
      <protection locked="true" hidden="false"/>
    </xf>
    <xf numFmtId="166" fontId="17" fillId="6"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8" fontId="17" fillId="6"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9" fontId="17" fillId="6" borderId="0" xfId="0" applyFont="true" applyBorder="false" applyAlignment="true" applyProtection="false">
      <alignment horizontal="right" vertical="center" textRotation="0" wrapText="false" indent="0" shrinkToFit="false"/>
      <protection locked="true" hidden="false"/>
    </xf>
    <xf numFmtId="169" fontId="9" fillId="0" borderId="0" xfId="0" applyFont="true" applyBorder="false" applyAlignment="true" applyProtection="false">
      <alignment horizontal="right" vertical="center" textRotation="0" wrapText="false" indent="0" shrinkToFit="false"/>
      <protection locked="true" hidden="false"/>
    </xf>
    <xf numFmtId="170" fontId="17" fillId="6" borderId="0" xfId="0" applyFont="true" applyBorder="false" applyAlignment="true" applyProtection="false">
      <alignment horizontal="right" vertical="center" textRotation="0" wrapText="false" indent="0" shrinkToFit="false"/>
      <protection locked="true" hidden="false"/>
    </xf>
    <xf numFmtId="170" fontId="9" fillId="0" borderId="0" xfId="0" applyFont="true" applyBorder="false" applyAlignment="true" applyProtection="false">
      <alignment horizontal="right" vertical="center" textRotation="0" wrapText="false" indent="0" shrinkToFit="false"/>
      <protection locked="true" hidden="false"/>
    </xf>
    <xf numFmtId="164" fontId="1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true" applyProtection="false">
      <alignment horizontal="left" vertical="center" textRotation="0" wrapText="false" indent="1" shrinkToFit="false"/>
      <protection locked="true" hidden="false"/>
    </xf>
    <xf numFmtId="166" fontId="8" fillId="3" borderId="1" xfId="0" applyFont="true" applyBorder="true" applyAlignment="true" applyProtection="false">
      <alignment horizontal="center" vertical="center" textRotation="0" wrapText="false" indent="0" shrinkToFit="false"/>
      <protection locked="true" hidden="false"/>
    </xf>
    <xf numFmtId="168" fontId="8" fillId="0" borderId="2" xfId="0" applyFont="true" applyBorder="true" applyAlignment="true" applyProtection="false">
      <alignment horizontal="right" vertical="center" textRotation="0" wrapText="false" indent="0" shrinkToFit="false"/>
      <protection locked="true" hidden="false"/>
    </xf>
    <xf numFmtId="168" fontId="8" fillId="0" borderId="3" xfId="0" applyFont="true" applyBorder="true" applyAlignment="true" applyProtection="false">
      <alignment horizontal="right" vertical="center" textRotation="0" wrapText="false" indent="0" shrinkToFit="false"/>
      <protection locked="true" hidden="false"/>
    </xf>
    <xf numFmtId="169" fontId="8" fillId="0" borderId="0" xfId="0" applyFont="true" applyBorder="false" applyAlignment="true" applyProtection="false">
      <alignment horizontal="right" vertical="center" textRotation="0" wrapText="false" indent="0" shrinkToFit="false"/>
      <protection locked="true" hidden="false"/>
    </xf>
    <xf numFmtId="168" fontId="8" fillId="0" borderId="1" xfId="0" applyFont="true" applyBorder="true" applyAlignment="true" applyProtection="false">
      <alignment horizontal="right" vertical="center" textRotation="0" wrapText="false" indent="0" shrinkToFit="false"/>
      <protection locked="true" hidden="false"/>
    </xf>
    <xf numFmtId="168" fontId="18" fillId="0" borderId="2" xfId="0" applyFont="true" applyBorder="true" applyAlignment="true" applyProtection="false">
      <alignment horizontal="right" vertical="center" textRotation="0" wrapText="false" indent="0" shrinkToFit="false"/>
      <protection locked="true" hidden="false"/>
    </xf>
    <xf numFmtId="167" fontId="18" fillId="0" borderId="0" xfId="0" applyFont="true" applyBorder="false" applyAlignment="true" applyProtection="false">
      <alignment horizontal="right" vertical="center" textRotation="0" wrapText="false" indent="0" shrinkToFit="false"/>
      <protection locked="true" hidden="false"/>
    </xf>
    <xf numFmtId="168" fontId="18" fillId="0" borderId="0" xfId="0" applyFont="true" applyBorder="false" applyAlignment="true" applyProtection="false">
      <alignment horizontal="right" vertical="center" textRotation="0" wrapText="false" indent="0" shrinkToFit="false"/>
      <protection locked="true" hidden="false"/>
    </xf>
    <xf numFmtId="167" fontId="8" fillId="0" borderId="0" xfId="0" applyFont="true" applyBorder="false" applyAlignment="true" applyProtection="false">
      <alignment horizontal="left" vertical="center" textRotation="0" wrapText="false" indent="1"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true" applyProtection="false">
      <alignment horizontal="center" vertical="center" textRotation="0" wrapText="false" indent="0" shrinkToFit="false"/>
      <protection locked="true" hidden="false"/>
    </xf>
    <xf numFmtId="169"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xf numFmtId="167" fontId="9" fillId="7"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2" fillId="0" borderId="4" xfId="0" applyFont="true" applyBorder="true" applyAlignment="false" applyProtection="false">
      <alignment horizontal="general" vertical="bottom" textRotation="0" wrapText="false" indent="0" shrinkToFit="false"/>
      <protection locked="true" hidden="false"/>
    </xf>
    <xf numFmtId="164" fontId="20" fillId="8"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3" fillId="9"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D9E1F2"/>
      <rgbColor rgb="FF808080"/>
      <rgbColor rgb="FF9999FF"/>
      <rgbColor rgb="FF993366"/>
      <rgbColor rgb="FFF2F2F2"/>
      <rgbColor rgb="FFE8F0FE"/>
      <rgbColor rgb="FF660066"/>
      <rgbColor rgb="FFFF8080"/>
      <rgbColor rgb="FF0070C0"/>
      <rgbColor rgb="FFC6D9F1"/>
      <rgbColor rgb="FF000080"/>
      <rgbColor rgb="FFFF00FF"/>
      <rgbColor rgb="FFFFFF00"/>
      <rgbColor rgb="FF00FFFF"/>
      <rgbColor rgb="FF800080"/>
      <rgbColor rgb="FF800000"/>
      <rgbColor rgb="FF008080"/>
      <rgbColor rgb="FF0000FF"/>
      <rgbColor rgb="FF00CCFF"/>
      <rgbColor rgb="FFD6E4F0"/>
      <rgbColor rgb="FFE2EFDA"/>
      <rgbColor rgb="FFFFFF99"/>
      <rgbColor rgb="FF99CCFF"/>
      <rgbColor rgb="FFFF99CC"/>
      <rgbColor rgb="FFCC99FF"/>
      <rgbColor rgb="FFFFCC99"/>
      <rgbColor rgb="FF3366FF"/>
      <rgbColor rgb="FF33CCCC"/>
      <rgbColor rgb="FF99CC00"/>
      <rgbColor rgb="FFFFCC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7" min="3" style="0" width="1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6" t="n">
        <f aca="true">TODAY()</f>
        <v>46157</v>
      </c>
    </row>
    <row r="6" customFormat="false" ht="15" hidden="false" customHeight="false" outlineLevel="0" collapsed="false">
      <c r="B6" s="5" t="s">
        <v>4</v>
      </c>
      <c r="C6" s="7" t="n">
        <f aca="false">Model_Start_Year</f>
        <v>2025</v>
      </c>
    </row>
    <row r="7" customFormat="false" ht="15" hidden="false" customHeight="false" outlineLevel="0" collapsed="false">
      <c r="B7" s="5" t="s">
        <v>5</v>
      </c>
      <c r="C7" s="8" t="s">
        <v>6</v>
      </c>
    </row>
    <row r="8" customFormat="false" ht="15" hidden="false" customHeight="false" outlineLevel="0" collapsed="false">
      <c r="B8" s="5" t="s">
        <v>7</v>
      </c>
      <c r="C8" s="8" t="s">
        <v>8</v>
      </c>
    </row>
    <row r="10" customFormat="false" ht="15" hidden="false" customHeight="false" outlineLevel="0" collapsed="false">
      <c r="B10" s="9" t="s">
        <v>9</v>
      </c>
      <c r="C10" s="10" t="s">
        <v>10</v>
      </c>
      <c r="D10" s="10" t="s">
        <v>11</v>
      </c>
      <c r="E10" s="10" t="s">
        <v>12</v>
      </c>
    </row>
    <row r="11" customFormat="false" ht="15" hidden="false" customHeight="false" outlineLevel="0" collapsed="false">
      <c r="B11" s="11" t="s">
        <v>13</v>
      </c>
      <c r="C11" s="12" t="s">
        <v>14</v>
      </c>
      <c r="D11" s="12" t="s">
        <v>15</v>
      </c>
      <c r="E11" s="12" t="s">
        <v>16</v>
      </c>
    </row>
    <row r="12" customFormat="false" ht="15" hidden="false" customHeight="false" outlineLevel="0" collapsed="false">
      <c r="B12" s="11" t="s">
        <v>17</v>
      </c>
      <c r="C12" s="12" t="s">
        <v>18</v>
      </c>
      <c r="D12" s="12" t="s">
        <v>19</v>
      </c>
      <c r="E12" s="12" t="s">
        <v>20</v>
      </c>
    </row>
    <row r="13" customFormat="false" ht="15" hidden="false" customHeight="false" outlineLevel="0" collapsed="false">
      <c r="B13" s="11" t="s">
        <v>21</v>
      </c>
      <c r="C13" s="12" t="s">
        <v>22</v>
      </c>
      <c r="D13" s="12" t="s">
        <v>23</v>
      </c>
      <c r="E13" s="12" t="s">
        <v>24</v>
      </c>
    </row>
    <row r="14" customFormat="false" ht="15" hidden="false" customHeight="false" outlineLevel="0" collapsed="false">
      <c r="B14" s="11" t="s">
        <v>25</v>
      </c>
      <c r="C14" s="12" t="s">
        <v>26</v>
      </c>
      <c r="D14" s="12" t="s">
        <v>27</v>
      </c>
      <c r="E14" s="12" t="s">
        <v>28</v>
      </c>
    </row>
    <row r="18" customFormat="false" ht="15" hidden="false" customHeight="false" outlineLevel="0" collapsed="false">
      <c r="B18" s="13" t="s">
        <v>29</v>
      </c>
    </row>
    <row r="21" customFormat="false" ht="19.5" hidden="false" customHeight="true" outlineLevel="0" collapsed="false">
      <c r="B21" s="14" t="s">
        <v>30</v>
      </c>
      <c r="C21" s="15"/>
      <c r="D21" s="15"/>
      <c r="E21" s="15"/>
      <c r="F21" s="15"/>
      <c r="G21" s="15"/>
    </row>
    <row r="22" customFormat="false" ht="246" hidden="false" customHeight="true" outlineLevel="0" collapsed="false">
      <c r="B22" s="16" t="s">
        <v>31</v>
      </c>
      <c r="C22" s="16"/>
      <c r="D22" s="16"/>
      <c r="E22" s="16"/>
      <c r="F22" s="16"/>
      <c r="G22" s="16"/>
    </row>
    <row r="24" customFormat="false" ht="19.5" hidden="false" customHeight="true" outlineLevel="0" collapsed="false">
      <c r="B24" s="14" t="s">
        <v>32</v>
      </c>
      <c r="C24" s="15"/>
      <c r="D24" s="15"/>
      <c r="E24" s="15"/>
      <c r="F24" s="15"/>
      <c r="G24" s="15"/>
    </row>
    <row r="25" customFormat="false" ht="57" hidden="false" customHeight="true" outlineLevel="0" collapsed="false">
      <c r="B25" s="16" t="s">
        <v>33</v>
      </c>
      <c r="C25" s="16"/>
      <c r="D25" s="16"/>
      <c r="E25" s="16"/>
      <c r="F25" s="16"/>
      <c r="G25" s="16"/>
    </row>
    <row r="26" customFormat="false" ht="15" hidden="false" customHeight="false" outlineLevel="0" collapsed="false">
      <c r="B26" s="17" t="s">
        <v>34</v>
      </c>
      <c r="C26" s="17"/>
      <c r="D26" s="17"/>
      <c r="E26" s="17"/>
      <c r="F26" s="17"/>
      <c r="G26" s="17"/>
    </row>
    <row r="27" customFormat="false" ht="15" hidden="false" customHeight="false" outlineLevel="0" collapsed="false">
      <c r="B27" s="18" t="s">
        <v>35</v>
      </c>
    </row>
  </sheetData>
  <mergeCells count="3">
    <mergeCell ref="B22:G22"/>
    <mergeCell ref="B25:G25"/>
    <mergeCell ref="B26:G26"/>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240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241</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8" customFormat="false" ht="15" hidden="false" customHeight="false" outlineLevel="0" collapsed="false">
      <c r="B8" s="23" t="s">
        <v>242</v>
      </c>
      <c r="C8" s="24"/>
      <c r="D8" s="24"/>
      <c r="E8" s="24"/>
      <c r="F8" s="24"/>
      <c r="G8" s="24"/>
    </row>
    <row r="9" customFormat="false" ht="15" hidden="false" customHeight="false" outlineLevel="0" collapsed="false">
      <c r="B9" s="11" t="s">
        <v>243</v>
      </c>
      <c r="C9" s="29" t="n">
        <f aca="false">Balance_Sheet!C11*RW_Corp</f>
        <v>3113.3375</v>
      </c>
      <c r="D9" s="29" t="n">
        <f aca="false">Balance_Sheet!D11*RW_Corp</f>
        <v>3253.4376875</v>
      </c>
      <c r="E9" s="29" t="n">
        <f aca="false">Balance_Sheet!E11*RW_Corp</f>
        <v>3399.8423834375</v>
      </c>
      <c r="F9" s="29" t="n">
        <f aca="false">Balance_Sheet!F11*RW_Corp</f>
        <v>3552.83529069219</v>
      </c>
      <c r="G9" s="29" t="n">
        <f aca="false">Balance_Sheet!G11*RW_Corp</f>
        <v>3712.71287877334</v>
      </c>
    </row>
    <row r="10" customFormat="false" ht="15" hidden="false" customHeight="false" outlineLevel="0" collapsed="false">
      <c r="B10" s="11" t="s">
        <v>244</v>
      </c>
      <c r="C10" s="29" t="n">
        <f aca="false">Balance_Sheet!C12*RW_Retail</f>
        <v>1604.25</v>
      </c>
      <c r="D10" s="29" t="n">
        <f aca="false">Balance_Sheet!D12*RW_Retail</f>
        <v>1708.52625</v>
      </c>
      <c r="E10" s="29" t="n">
        <f aca="false">Balance_Sheet!E12*RW_Retail</f>
        <v>1819.58045625</v>
      </c>
      <c r="F10" s="29" t="n">
        <f aca="false">Balance_Sheet!F12*RW_Retail</f>
        <v>1937.85318590625</v>
      </c>
      <c r="G10" s="29" t="n">
        <f aca="false">Balance_Sheet!G12*RW_Retail</f>
        <v>2063.81364299016</v>
      </c>
    </row>
    <row r="11" customFormat="false" ht="15" hidden="false" customHeight="false" outlineLevel="0" collapsed="false">
      <c r="B11" s="11" t="s">
        <v>245</v>
      </c>
      <c r="C11" s="29" t="n">
        <f aca="false">Balance_Sheet!C13*RW_Mort</f>
        <v>908.775</v>
      </c>
      <c r="D11" s="29" t="n">
        <f aca="false">Balance_Sheet!D13*RW_Mort</f>
        <v>943.30845</v>
      </c>
      <c r="E11" s="29" t="n">
        <f aca="false">Balance_Sheet!E13*RW_Mort</f>
        <v>979.1541711</v>
      </c>
      <c r="F11" s="29" t="n">
        <f aca="false">Balance_Sheet!F13*RW_Mort</f>
        <v>1016.3620296018</v>
      </c>
      <c r="G11" s="29" t="n">
        <f aca="false">Balance_Sheet!G13*RW_Mort</f>
        <v>1054.98378672667</v>
      </c>
    </row>
    <row r="12" customFormat="false" ht="15" hidden="false" customHeight="false" outlineLevel="0" collapsed="false">
      <c r="B12" s="11" t="s">
        <v>246</v>
      </c>
      <c r="C12" s="29" t="n">
        <f aca="false">Balance_Sheet!C10*RW_HQLA</f>
        <v>360</v>
      </c>
      <c r="D12" s="29" t="n">
        <f aca="false">Balance_Sheet!D10*RW_HQLA</f>
        <v>360</v>
      </c>
      <c r="E12" s="29" t="n">
        <f aca="false">Balance_Sheet!E10*RW_HQLA</f>
        <v>360</v>
      </c>
      <c r="F12" s="29" t="n">
        <f aca="false">Balance_Sheet!F10*RW_HQLA</f>
        <v>360</v>
      </c>
      <c r="G12" s="29" t="n">
        <f aca="false">Balance_Sheet!G10*RW_HQLA</f>
        <v>360</v>
      </c>
    </row>
    <row r="13" customFormat="false" ht="15" hidden="false" customHeight="false" outlineLevel="0" collapsed="false">
      <c r="B13" s="11" t="s">
        <v>247</v>
      </c>
      <c r="C13" s="38" t="n">
        <f aca="false">SUM(C9:C12)</f>
        <v>5986.3625</v>
      </c>
      <c r="D13" s="38" t="n">
        <f aca="false">SUM(D9:D12)</f>
        <v>6265.2723875</v>
      </c>
      <c r="E13" s="38" t="n">
        <f aca="false">SUM(E9:E12)</f>
        <v>6558.5770107875</v>
      </c>
      <c r="F13" s="38" t="n">
        <f aca="false">SUM(F9:F12)</f>
        <v>6867.05050620024</v>
      </c>
      <c r="G13" s="38" t="n">
        <f aca="false">SUM(G9:G12)</f>
        <v>7191.51030849016</v>
      </c>
    </row>
    <row r="14" customFormat="false" ht="15" hidden="false" customHeight="false" outlineLevel="0" collapsed="false">
      <c r="B14" s="11" t="s">
        <v>57</v>
      </c>
      <c r="C14" s="29" t="n">
        <f aca="false">C13*RWA_Stress_Overlay</f>
        <v>0</v>
      </c>
      <c r="D14" s="29" t="n">
        <f aca="false">D13*RWA_Stress_Overlay</f>
        <v>0</v>
      </c>
      <c r="E14" s="29" t="n">
        <f aca="false">E13*RWA_Stress_Overlay</f>
        <v>0</v>
      </c>
      <c r="F14" s="29" t="n">
        <f aca="false">F13*RWA_Stress_Overlay</f>
        <v>0</v>
      </c>
      <c r="G14" s="29" t="n">
        <f aca="false">G13*RWA_Stress_Overlay</f>
        <v>0</v>
      </c>
    </row>
    <row r="15" customFormat="false" ht="15" hidden="false" customHeight="false" outlineLevel="0" collapsed="false">
      <c r="B15" s="11" t="s">
        <v>248</v>
      </c>
      <c r="C15" s="29" t="n">
        <f aca="false">(C13+C14)*RW_Opnl_Pct</f>
        <v>598.63625</v>
      </c>
      <c r="D15" s="29" t="n">
        <f aca="false">(D13+D14)*RW_Opnl_Pct</f>
        <v>626.52723875</v>
      </c>
      <c r="E15" s="29" t="n">
        <f aca="false">(E13+E14)*RW_Opnl_Pct</f>
        <v>655.85770107875</v>
      </c>
      <c r="F15" s="29" t="n">
        <f aca="false">(F13+F14)*RW_Opnl_Pct</f>
        <v>686.705050620024</v>
      </c>
      <c r="G15" s="29" t="n">
        <f aca="false">(G13+G14)*RW_Opnl_Pct</f>
        <v>719.151030849016</v>
      </c>
    </row>
    <row r="16" customFormat="false" ht="15" hidden="false" customHeight="false" outlineLevel="0" collapsed="false">
      <c r="B16" s="11" t="s">
        <v>249</v>
      </c>
      <c r="C16" s="39" t="n">
        <f aca="false">C13+C14+C15</f>
        <v>6584.99875</v>
      </c>
      <c r="D16" s="39" t="n">
        <f aca="false">D13+D14+D15</f>
        <v>6891.79962625</v>
      </c>
      <c r="E16" s="39" t="n">
        <f aca="false">E13+E14+E15</f>
        <v>7214.43471186625</v>
      </c>
      <c r="F16" s="39" t="n">
        <f aca="false">F13+F14+F15</f>
        <v>7553.75555682026</v>
      </c>
      <c r="G16" s="39" t="n">
        <f aca="false">G13+G14+G15</f>
        <v>7910.66133933918</v>
      </c>
    </row>
    <row r="17" customFormat="false" ht="15" hidden="false" customHeight="false" outlineLevel="0" collapsed="false">
      <c r="B17" s="23" t="s">
        <v>250</v>
      </c>
      <c r="C17" s="24"/>
      <c r="D17" s="24"/>
      <c r="E17" s="24"/>
      <c r="F17" s="24"/>
      <c r="G17" s="24"/>
    </row>
    <row r="18" customFormat="false" ht="15" hidden="false" customHeight="false" outlineLevel="0" collapsed="false">
      <c r="B18" s="11" t="s">
        <v>251</v>
      </c>
      <c r="C18" s="29" t="n">
        <f aca="false">Open_CET1_Capital</f>
        <v>950</v>
      </c>
      <c r="D18" s="29" t="n">
        <f aca="false">C22</f>
        <v>1031.45191607125</v>
      </c>
      <c r="E18" s="29" t="n">
        <f aca="false">D22</f>
        <v>1116.82786946423</v>
      </c>
      <c r="F18" s="29" t="n">
        <f aca="false">E22</f>
        <v>1206.21854171899</v>
      </c>
      <c r="G18" s="29" t="n">
        <f aca="false">F22</f>
        <v>1299.82068942285</v>
      </c>
    </row>
    <row r="19" customFormat="false" ht="15" hidden="false" customHeight="false" outlineLevel="0" collapsed="false">
      <c r="B19" s="11" t="s">
        <v>252</v>
      </c>
      <c r="C19" s="29" t="n">
        <f aca="false">Income_Statement!C24</f>
        <v>141.926024725</v>
      </c>
      <c r="D19" s="29" t="n">
        <f aca="false">Income_Statement!D24</f>
        <v>147.963005219975</v>
      </c>
      <c r="E19" s="29" t="n">
        <f aca="false">Income_Statement!E24</f>
        <v>154.139495776555</v>
      </c>
      <c r="F19" s="29" t="n">
        <f aca="false">Income_Statement!F24</f>
        <v>160.618688775155</v>
      </c>
      <c r="G19" s="29" t="n">
        <f aca="false">Income_Statement!G24</f>
        <v>167.416743018222</v>
      </c>
    </row>
    <row r="20" customFormat="false" ht="15" hidden="false" customHeight="false" outlineLevel="0" collapsed="false">
      <c r="B20" s="11" t="s">
        <v>253</v>
      </c>
      <c r="C20" s="29" t="n">
        <f aca="false">-Income_Statement!C25</f>
        <v>-49.67410865375</v>
      </c>
      <c r="D20" s="29" t="n">
        <f aca="false">-Income_Statement!D25</f>
        <v>-51.7870518269912</v>
      </c>
      <c r="E20" s="29" t="n">
        <f aca="false">-Income_Statement!E25</f>
        <v>-53.9488235217943</v>
      </c>
      <c r="F20" s="29" t="n">
        <f aca="false">-Income_Statement!F25</f>
        <v>-56.2165410713042</v>
      </c>
      <c r="G20" s="29" t="n">
        <f aca="false">-Income_Statement!G25</f>
        <v>-58.5958600563776</v>
      </c>
    </row>
    <row r="21" customFormat="false" ht="15" hidden="false" customHeight="false" outlineLevel="0" collapsed="false">
      <c r="B21" s="11" t="s">
        <v>254</v>
      </c>
      <c r="C21" s="29" t="n">
        <f aca="false">Income_Statement!C26</f>
        <v>-10.8</v>
      </c>
      <c r="D21" s="29" t="n">
        <f aca="false">Income_Statement!D26</f>
        <v>-10.8</v>
      </c>
      <c r="E21" s="29" t="n">
        <f aca="false">Income_Statement!E26</f>
        <v>-10.8</v>
      </c>
      <c r="F21" s="29" t="n">
        <f aca="false">Income_Statement!F26</f>
        <v>-10.8</v>
      </c>
      <c r="G21" s="29" t="n">
        <f aca="false">Income_Statement!G26</f>
        <v>-10.8</v>
      </c>
    </row>
    <row r="22" customFormat="false" ht="15" hidden="false" customHeight="false" outlineLevel="0" collapsed="false">
      <c r="B22" s="11" t="s">
        <v>255</v>
      </c>
      <c r="C22" s="39" t="n">
        <f aca="false">SUM(C18:C21)</f>
        <v>1031.45191607125</v>
      </c>
      <c r="D22" s="39" t="n">
        <f aca="false">SUM(D18:D21)</f>
        <v>1116.82786946423</v>
      </c>
      <c r="E22" s="39" t="n">
        <f aca="false">SUM(E18:E21)</f>
        <v>1206.21854171899</v>
      </c>
      <c r="F22" s="39" t="n">
        <f aca="false">SUM(F18:F21)</f>
        <v>1299.82068942285</v>
      </c>
      <c r="G22" s="39" t="n">
        <f aca="false">SUM(G18:G21)</f>
        <v>1397.84157238469</v>
      </c>
    </row>
    <row r="23" customFormat="false" ht="15" hidden="false" customHeight="false" outlineLevel="0" collapsed="false">
      <c r="B23" s="11" t="s">
        <v>256</v>
      </c>
      <c r="C23" s="40" t="n">
        <f aca="false">C22/C16</f>
        <v>0.156636615317695</v>
      </c>
      <c r="D23" s="40" t="n">
        <f aca="false">D22/D16</f>
        <v>0.1620517034782</v>
      </c>
      <c r="E23" s="40" t="n">
        <f aca="false">E22/E16</f>
        <v>0.167195156639926</v>
      </c>
      <c r="F23" s="40" t="n">
        <f aca="false">F22/F16</f>
        <v>0.172076085815253</v>
      </c>
      <c r="G23" s="40" t="n">
        <f aca="false">G22/G16</f>
        <v>0.176703503338377</v>
      </c>
    </row>
    <row r="24" customFormat="false" ht="15" hidden="false" customHeight="false" outlineLevel="0" collapsed="false">
      <c r="B24" s="11" t="s">
        <v>257</v>
      </c>
      <c r="C24" s="31" t="n">
        <f aca="false">C23-Target_CET1_Ratio</f>
        <v>0.0516366153176946</v>
      </c>
      <c r="D24" s="31" t="n">
        <f aca="false">D23-Target_CET1_Ratio</f>
        <v>0.0570517034781999</v>
      </c>
      <c r="E24" s="31" t="n">
        <f aca="false">E23-Target_CET1_Ratio</f>
        <v>0.0621951566399257</v>
      </c>
      <c r="F24" s="31" t="n">
        <f aca="false">F23-Target_CET1_Ratio</f>
        <v>0.0670760858152527</v>
      </c>
      <c r="G24" s="31" t="n">
        <f aca="false">G23-Target_CET1_Ratio</f>
        <v>0.0717035033383769</v>
      </c>
    </row>
    <row r="25" customFormat="false" ht="15" hidden="false" customHeight="false" outlineLevel="0" collapsed="false">
      <c r="B25" s="11" t="s">
        <v>258</v>
      </c>
      <c r="C25" s="29" t="n">
        <f aca="false">MAX(0,(C23-Target_CET1_Ratio)*C16)</f>
        <v>340.02704732125</v>
      </c>
      <c r="D25" s="29" t="n">
        <f aca="false">MAX(0,(D23-Target_CET1_Ratio)*D16)</f>
        <v>393.188908707984</v>
      </c>
      <c r="E25" s="29" t="n">
        <f aca="false">MAX(0,(E23-Target_CET1_Ratio)*E16)</f>
        <v>448.702896973038</v>
      </c>
      <c r="F25" s="29" t="n">
        <f aca="false">MAX(0,(F23-Target_CET1_Ratio)*F16)</f>
        <v>506.676355956718</v>
      </c>
      <c r="G25" s="29" t="n">
        <f aca="false">MAX(0,(G23-Target_CET1_Ratio)*G16)</f>
        <v>567.222131754076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259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260</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8" customFormat="false" ht="15" hidden="false" customHeight="false" outlineLevel="0" collapsed="false">
      <c r="B8" s="23" t="s">
        <v>261</v>
      </c>
      <c r="C8" s="24"/>
      <c r="D8" s="24"/>
      <c r="E8" s="24"/>
      <c r="F8" s="24"/>
      <c r="G8" s="24"/>
    </row>
    <row r="9" customFormat="false" ht="15" hidden="false" customHeight="false" outlineLevel="0" collapsed="false">
      <c r="B9" s="11" t="s">
        <v>218</v>
      </c>
      <c r="C9" s="29" t="n">
        <f aca="false">Income_Statement!C24</f>
        <v>141.926024725</v>
      </c>
      <c r="D9" s="29" t="n">
        <f aca="false">Income_Statement!D24</f>
        <v>147.963005219975</v>
      </c>
      <c r="E9" s="29" t="n">
        <f aca="false">Income_Statement!E24</f>
        <v>154.139495776555</v>
      </c>
      <c r="F9" s="29" t="n">
        <f aca="false">Income_Statement!F24</f>
        <v>160.618688775155</v>
      </c>
      <c r="G9" s="29" t="n">
        <f aca="false">Income_Statement!G24</f>
        <v>167.416743018222</v>
      </c>
    </row>
    <row r="10" customFormat="false" ht="15" hidden="false" customHeight="false" outlineLevel="0" collapsed="false">
      <c r="B10" s="11" t="s">
        <v>262</v>
      </c>
      <c r="C10" s="29" t="n">
        <f aca="false">-Loan_Book!C43</f>
        <v>54.045875</v>
      </c>
      <c r="D10" s="29" t="n">
        <f aca="false">-Loan_Book!D43</f>
        <v>57.145238875</v>
      </c>
      <c r="E10" s="29" t="n">
        <f aca="false">-Loan_Book!E43</f>
        <v>60.342288205375</v>
      </c>
      <c r="F10" s="29" t="n">
        <f aca="false">-Loan_Book!F43</f>
        <v>63.7248632634449</v>
      </c>
      <c r="G10" s="29" t="n">
        <f aca="false">-Loan_Book!G43</f>
        <v>67.3040585147171</v>
      </c>
    </row>
    <row r="11" customFormat="false" ht="15" hidden="false" customHeight="false" outlineLevel="0" collapsed="false">
      <c r="B11" s="11" t="s">
        <v>263</v>
      </c>
      <c r="C11" s="29" t="n">
        <f aca="false">-Opex_Capex!C20</f>
        <v>31.817386875</v>
      </c>
      <c r="D11" s="29" t="n">
        <f aca="false">-Opex_Capex!D20</f>
        <v>33.721083455625</v>
      </c>
      <c r="E11" s="29" t="n">
        <f aca="false">-Opex_Capex!E20</f>
        <v>35.7135565944356</v>
      </c>
      <c r="F11" s="29" t="n">
        <f aca="false">-Opex_Capex!F20</f>
        <v>37.7993203516517</v>
      </c>
      <c r="G11" s="29" t="n">
        <f aca="false">-Opex_Capex!G20</f>
        <v>39.9831362378815</v>
      </c>
    </row>
    <row r="12" customFormat="false" ht="15" hidden="false" customHeight="false" outlineLevel="0" collapsed="false">
      <c r="B12" s="11" t="s">
        <v>264</v>
      </c>
      <c r="C12" s="29" t="n">
        <f aca="false">0</f>
        <v>0</v>
      </c>
      <c r="D12" s="29" t="n">
        <f aca="false">0</f>
        <v>0</v>
      </c>
      <c r="E12" s="29" t="n">
        <f aca="false">0</f>
        <v>0</v>
      </c>
      <c r="F12" s="29" t="n">
        <f aca="false">0</f>
        <v>0</v>
      </c>
      <c r="G12" s="29" t="n">
        <f aca="false">0</f>
        <v>0</v>
      </c>
    </row>
    <row r="13" customFormat="false" ht="15" hidden="false" customHeight="false" outlineLevel="0" collapsed="false">
      <c r="B13" s="11" t="s">
        <v>265</v>
      </c>
      <c r="C13" s="29" t="n">
        <f aca="false">0</f>
        <v>0</v>
      </c>
      <c r="D13" s="29" t="n">
        <f aca="false">0</f>
        <v>0</v>
      </c>
      <c r="E13" s="29" t="n">
        <f aca="false">0</f>
        <v>0</v>
      </c>
      <c r="F13" s="29" t="n">
        <f aca="false">0</f>
        <v>0</v>
      </c>
      <c r="G13" s="29" t="n">
        <f aca="false">0</f>
        <v>0</v>
      </c>
    </row>
    <row r="14" customFormat="false" ht="15" hidden="false" customHeight="false" outlineLevel="0" collapsed="false">
      <c r="B14" s="11" t="s">
        <v>266</v>
      </c>
      <c r="C14" s="29" t="n">
        <f aca="false">0</f>
        <v>0</v>
      </c>
      <c r="D14" s="29" t="n">
        <f aca="false">0</f>
        <v>0</v>
      </c>
      <c r="E14" s="29" t="n">
        <f aca="false">0</f>
        <v>0</v>
      </c>
      <c r="F14" s="29" t="n">
        <f aca="false">0</f>
        <v>0</v>
      </c>
      <c r="G14" s="29" t="n">
        <f aca="false">0</f>
        <v>0</v>
      </c>
    </row>
    <row r="15" customFormat="false" ht="15" hidden="false" customHeight="false" outlineLevel="0" collapsed="false">
      <c r="B15" s="11" t="s">
        <v>267</v>
      </c>
      <c r="C15" s="39" t="n">
        <f aca="false">SUM(C9:C14)</f>
        <v>227.7892866</v>
      </c>
      <c r="D15" s="39" t="n">
        <f aca="false">SUM(D9:D14)</f>
        <v>238.8293275506</v>
      </c>
      <c r="E15" s="39" t="n">
        <f aca="false">SUM(E9:E14)</f>
        <v>250.195340576366</v>
      </c>
      <c r="F15" s="39" t="n">
        <f aca="false">SUM(F9:F14)</f>
        <v>262.142872390252</v>
      </c>
      <c r="G15" s="39" t="n">
        <f aca="false">SUM(G9:G14)</f>
        <v>274.70393777082</v>
      </c>
    </row>
    <row r="16" customFormat="false" ht="15" hidden="false" customHeight="false" outlineLevel="0" collapsed="false">
      <c r="B16" s="23" t="s">
        <v>268</v>
      </c>
      <c r="C16" s="24"/>
      <c r="D16" s="24"/>
      <c r="E16" s="24"/>
      <c r="F16" s="24"/>
      <c r="G16" s="24"/>
    </row>
    <row r="17" customFormat="false" ht="15" hidden="false" customHeight="false" outlineLevel="0" collapsed="false">
      <c r="B17" s="11" t="s">
        <v>198</v>
      </c>
      <c r="C17" s="29" t="n">
        <f aca="false">Opex_Capex!C18</f>
        <v>-18.17386875</v>
      </c>
      <c r="D17" s="29" t="n">
        <f aca="false">Opex_Capex!D18</f>
        <v>-19.03696580625</v>
      </c>
      <c r="E17" s="29" t="n">
        <f aca="false">Opex_Capex!E18</f>
        <v>-19.9247313881063</v>
      </c>
      <c r="F17" s="29" t="n">
        <f aca="false">Opex_Capex!F18</f>
        <v>-20.8576375721604</v>
      </c>
      <c r="G17" s="29" t="n">
        <f aca="false">Opex_Capex!G18</f>
        <v>-21.838158862298</v>
      </c>
    </row>
    <row r="18" customFormat="false" ht="15" hidden="false" customHeight="false" outlineLevel="0" collapsed="false">
      <c r="B18" s="11" t="s">
        <v>269</v>
      </c>
      <c r="C18" s="39" t="n">
        <f aca="false">C17</f>
        <v>-18.17386875</v>
      </c>
      <c r="D18" s="39" t="n">
        <f aca="false">D17</f>
        <v>-19.03696580625</v>
      </c>
      <c r="E18" s="39" t="n">
        <f aca="false">E17</f>
        <v>-19.9247313881063</v>
      </c>
      <c r="F18" s="39" t="n">
        <f aca="false">F17</f>
        <v>-20.8576375721604</v>
      </c>
      <c r="G18" s="39" t="n">
        <f aca="false">G17</f>
        <v>-21.838158862298</v>
      </c>
    </row>
    <row r="19" customFormat="false" ht="15" hidden="false" customHeight="false" outlineLevel="0" collapsed="false">
      <c r="B19" s="23" t="s">
        <v>270</v>
      </c>
      <c r="C19" s="24"/>
      <c r="D19" s="24"/>
      <c r="E19" s="24"/>
      <c r="F19" s="24"/>
      <c r="G19" s="24"/>
    </row>
    <row r="20" customFormat="false" ht="15" hidden="false" customHeight="false" outlineLevel="0" collapsed="false">
      <c r="B20" s="11" t="s">
        <v>271</v>
      </c>
      <c r="C20" s="29" t="n">
        <f aca="false">Funding_Book!C12-Open_Deposits</f>
        <v>260</v>
      </c>
      <c r="D20" s="29" t="n">
        <f aca="false">Funding_Book!D12-Funding_Book!C12</f>
        <v>270.4</v>
      </c>
      <c r="E20" s="29" t="n">
        <f aca="false">Funding_Book!E12-Funding_Book!D12</f>
        <v>281.216</v>
      </c>
      <c r="F20" s="29" t="n">
        <f aca="false">Funding_Book!F12-Funding_Book!E12</f>
        <v>292.46464</v>
      </c>
      <c r="G20" s="29" t="n">
        <f aca="false">Funding_Book!G12-Funding_Book!F12</f>
        <v>304.1632256</v>
      </c>
    </row>
    <row r="21" customFormat="false" ht="15" hidden="false" customHeight="false" outlineLevel="0" collapsed="false">
      <c r="B21" s="11" t="s">
        <v>272</v>
      </c>
      <c r="C21" s="29" t="n">
        <f aca="false">Balance_Sheet!C21-Open_Wholesale</f>
        <v>15.0586908037503</v>
      </c>
      <c r="D21" s="29" t="n">
        <f aca="false">Balance_Sheet!D21-Balance_Sheet!C21</f>
        <v>19.7121900826405</v>
      </c>
      <c r="E21" s="29" t="n">
        <f aca="false">Balance_Sheet!E21-Balance_Sheet!D21</f>
        <v>23.8903818335348</v>
      </c>
      <c r="F21" s="29" t="n">
        <f aca="false">Balance_Sheet!F21-Balance_Sheet!E21</f>
        <v>28.4493105307142</v>
      </c>
      <c r="G21" s="29" t="n">
        <f aca="false">Balance_Sheet!G21-Balance_Sheet!F21</f>
        <v>33.4171671209624</v>
      </c>
    </row>
    <row r="22" customFormat="false" ht="15" hidden="false" customHeight="false" outlineLevel="0" collapsed="false">
      <c r="B22" s="11" t="s">
        <v>273</v>
      </c>
      <c r="C22" s="29" t="n">
        <f aca="false">-Income_Statement!C25</f>
        <v>-49.67410865375</v>
      </c>
      <c r="D22" s="29" t="n">
        <f aca="false">-Income_Statement!D25</f>
        <v>-51.7870518269912</v>
      </c>
      <c r="E22" s="29" t="n">
        <f aca="false">-Income_Statement!E25</f>
        <v>-53.9488235217943</v>
      </c>
      <c r="F22" s="29" t="n">
        <f aca="false">-Income_Statement!F25</f>
        <v>-56.2165410713042</v>
      </c>
      <c r="G22" s="29" t="n">
        <f aca="false">-Income_Statement!G25</f>
        <v>-58.5958600563776</v>
      </c>
    </row>
    <row r="23" customFormat="false" ht="15" hidden="false" customHeight="false" outlineLevel="0" collapsed="false">
      <c r="B23" s="11" t="s">
        <v>274</v>
      </c>
      <c r="C23" s="29" t="n">
        <f aca="false">Income_Statement!C26</f>
        <v>-10.8</v>
      </c>
      <c r="D23" s="29" t="n">
        <f aca="false">Income_Statement!D26</f>
        <v>-10.8</v>
      </c>
      <c r="E23" s="29" t="n">
        <f aca="false">Income_Statement!E26</f>
        <v>-10.8</v>
      </c>
      <c r="F23" s="29" t="n">
        <f aca="false">Income_Statement!F26</f>
        <v>-10.8</v>
      </c>
      <c r="G23" s="29" t="n">
        <f aca="false">Income_Statement!G26</f>
        <v>-10.8</v>
      </c>
    </row>
    <row r="24" customFormat="false" ht="15" hidden="false" customHeight="false" outlineLevel="0" collapsed="false">
      <c r="B24" s="11" t="s">
        <v>275</v>
      </c>
      <c r="C24" s="39" t="n">
        <f aca="false">SUM(C20:C23)</f>
        <v>214.58458215</v>
      </c>
      <c r="D24" s="39" t="n">
        <f aca="false">SUM(D20:D23)</f>
        <v>227.525138255649</v>
      </c>
      <c r="E24" s="39" t="n">
        <f aca="false">SUM(E20:E23)</f>
        <v>240.357558311741</v>
      </c>
      <c r="F24" s="39" t="n">
        <f aca="false">SUM(F20:F23)</f>
        <v>253.89740945941</v>
      </c>
      <c r="G24" s="39" t="n">
        <f aca="false">SUM(G20:G23)</f>
        <v>268.184532664585</v>
      </c>
    </row>
    <row r="26" customFormat="false" ht="15" hidden="false" customHeight="false" outlineLevel="0" collapsed="false">
      <c r="B26" s="11" t="s">
        <v>276</v>
      </c>
      <c r="C26" s="29" t="n">
        <f aca="false">Open_Total_Assets*0.08</f>
        <v>800</v>
      </c>
      <c r="D26" s="29" t="n">
        <f aca="false">C28</f>
        <v>1224.2</v>
      </c>
      <c r="E26" s="29" t="n">
        <f aca="false">D28</f>
        <v>1671.5175</v>
      </c>
      <c r="F26" s="29" t="n">
        <f aca="false">E28</f>
        <v>2142.1456675</v>
      </c>
      <c r="G26" s="29" t="n">
        <f aca="false">F28</f>
        <v>2637.3283117775</v>
      </c>
    </row>
    <row r="27" customFormat="false" ht="15" hidden="false" customHeight="false" outlineLevel="0" collapsed="false">
      <c r="B27" s="11" t="s">
        <v>277</v>
      </c>
      <c r="C27" s="38" t="n">
        <f aca="false">C15+C18+C24</f>
        <v>424.2</v>
      </c>
      <c r="D27" s="38" t="n">
        <f aca="false">D15+D18+D24</f>
        <v>447.317499999999</v>
      </c>
      <c r="E27" s="38" t="n">
        <f aca="false">E15+E18+E24</f>
        <v>470.6281675</v>
      </c>
      <c r="F27" s="38" t="n">
        <f aca="false">F15+F18+F24</f>
        <v>495.182644277501</v>
      </c>
      <c r="G27" s="38" t="n">
        <f aca="false">G15+G18+G24</f>
        <v>521.050311573108</v>
      </c>
    </row>
    <row r="28" customFormat="false" ht="15" hidden="false" customHeight="false" outlineLevel="0" collapsed="false">
      <c r="B28" s="11" t="s">
        <v>278</v>
      </c>
      <c r="C28" s="39" t="n">
        <f aca="false">C26+C27</f>
        <v>1224.2</v>
      </c>
      <c r="D28" s="39" t="n">
        <f aca="false">D26+D27</f>
        <v>1671.5175</v>
      </c>
      <c r="E28" s="39" t="n">
        <f aca="false">E26+E27</f>
        <v>2142.1456675</v>
      </c>
      <c r="F28" s="39" t="n">
        <f aca="false">F26+F27</f>
        <v>2637.3283117775</v>
      </c>
      <c r="G28" s="39" t="n">
        <f aca="false">G26+G27</f>
        <v>3158.37862335061</v>
      </c>
    </row>
    <row r="29" customFormat="false" ht="15" hidden="false" customHeight="false" outlineLevel="0" collapsed="false">
      <c r="B29" s="11" t="s">
        <v>279</v>
      </c>
      <c r="C29" s="44" t="n">
        <f aca="false">C28-Balance_Sheet!C9</f>
        <v>424.2</v>
      </c>
      <c r="D29" s="44" t="n">
        <f aca="false">D28-Balance_Sheet!D9</f>
        <v>871.517499999999</v>
      </c>
      <c r="E29" s="44" t="n">
        <f aca="false">E28-Balance_Sheet!E9</f>
        <v>1342.1456675</v>
      </c>
      <c r="F29" s="44" t="n">
        <f aca="false">F28-Balance_Sheet!F9</f>
        <v>1837.3283117775</v>
      </c>
      <c r="G29" s="44" t="n">
        <f aca="false">G28-Balance_Sheet!G9</f>
        <v>2358.37862335061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280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281</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8" customFormat="false" ht="15" hidden="false" customHeight="false" outlineLevel="0" collapsed="false">
      <c r="B8" s="5" t="s">
        <v>282</v>
      </c>
      <c r="C8" s="45" t="str">
        <f aca="false">CHOOSE(Scenario_Toggle,"Base","Adverse","Severely Adverse")</f>
        <v>Base</v>
      </c>
    </row>
    <row r="11" customFormat="false" ht="15" hidden="false" customHeight="false" outlineLevel="0" collapsed="false">
      <c r="B11" s="11" t="s">
        <v>190</v>
      </c>
      <c r="C11" s="29" t="n">
        <f aca="false">NII_Margins!C17</f>
        <v>399.795625</v>
      </c>
      <c r="D11" s="29" t="n">
        <f aca="false">NII_Margins!D17</f>
        <v>422.385526875</v>
      </c>
      <c r="E11" s="29" t="n">
        <f aca="false">NII_Margins!E17</f>
        <v>445.612312936875</v>
      </c>
      <c r="F11" s="29" t="n">
        <f aca="false">NII_Margins!F17</f>
        <v>470.152823738679</v>
      </c>
      <c r="G11" s="29" t="n">
        <f aca="false">NII_Margins!G17</f>
        <v>496.083813883265</v>
      </c>
    </row>
    <row r="12" customFormat="false" ht="15" hidden="false" customHeight="false" outlineLevel="0" collapsed="false">
      <c r="B12" s="11" t="s">
        <v>210</v>
      </c>
      <c r="C12" s="29" t="n">
        <f aca="false">Loan_Book!C43</f>
        <v>-54.045875</v>
      </c>
      <c r="D12" s="29" t="n">
        <f aca="false">Loan_Book!D43</f>
        <v>-57.145238875</v>
      </c>
      <c r="E12" s="29" t="n">
        <f aca="false">Loan_Book!E43</f>
        <v>-60.342288205375</v>
      </c>
      <c r="F12" s="29" t="n">
        <f aca="false">Loan_Book!F43</f>
        <v>-63.7248632634449</v>
      </c>
      <c r="G12" s="29" t="n">
        <f aca="false">Loan_Book!G43</f>
        <v>-67.3040585147171</v>
      </c>
    </row>
    <row r="13" customFormat="false" ht="15" hidden="false" customHeight="false" outlineLevel="0" collapsed="false">
      <c r="B13" s="11" t="s">
        <v>209</v>
      </c>
      <c r="C13" s="29" t="n">
        <f aca="false">Income_Statement!C14</f>
        <v>240.790644375</v>
      </c>
      <c r="D13" s="29" t="n">
        <f aca="false">Income_Statement!D14</f>
        <v>251.833403638125</v>
      </c>
      <c r="E13" s="29" t="n">
        <f aca="false">Income_Statement!E14</f>
        <v>263.157414227158</v>
      </c>
      <c r="F13" s="29" t="n">
        <f aca="false">Income_Statement!F14</f>
        <v>275.065243230754</v>
      </c>
      <c r="G13" s="29" t="n">
        <f aca="false">Income_Statement!G14</f>
        <v>287.589246696588</v>
      </c>
    </row>
    <row r="14" customFormat="false" ht="15" hidden="false" customHeight="false" outlineLevel="0" collapsed="false">
      <c r="B14" s="11" t="s">
        <v>218</v>
      </c>
      <c r="C14" s="38" t="n">
        <f aca="false">Income_Statement!C24</f>
        <v>141.926024725</v>
      </c>
      <c r="D14" s="38" t="n">
        <f aca="false">Income_Statement!D24</f>
        <v>147.963005219975</v>
      </c>
      <c r="E14" s="38" t="n">
        <f aca="false">Income_Statement!E24</f>
        <v>154.139495776555</v>
      </c>
      <c r="F14" s="38" t="n">
        <f aca="false">Income_Statement!F24</f>
        <v>160.618688775155</v>
      </c>
      <c r="G14" s="38" t="n">
        <f aca="false">Income_Statement!G24</f>
        <v>167.416743018222</v>
      </c>
    </row>
    <row r="15" customFormat="false" ht="15" hidden="false" customHeight="false" outlineLevel="0" collapsed="false">
      <c r="B15" s="11" t="s">
        <v>256</v>
      </c>
      <c r="C15" s="40" t="n">
        <f aca="false">Capital_RWA!C23</f>
        <v>0.156636615317695</v>
      </c>
      <c r="D15" s="40" t="n">
        <f aca="false">Capital_RWA!D23</f>
        <v>0.1620517034782</v>
      </c>
      <c r="E15" s="40" t="n">
        <f aca="false">Capital_RWA!E23</f>
        <v>0.167195156639926</v>
      </c>
      <c r="F15" s="40" t="n">
        <f aca="false">Capital_RWA!F23</f>
        <v>0.172076085815253</v>
      </c>
      <c r="G15" s="40" t="n">
        <f aca="false">Capital_RWA!G23</f>
        <v>0.176703503338377</v>
      </c>
    </row>
    <row r="16" customFormat="false" ht="15" hidden="false" customHeight="false" outlineLevel="0" collapsed="false">
      <c r="B16" s="11" t="s">
        <v>283</v>
      </c>
      <c r="C16" s="31" t="n">
        <f aca="false">Capital_RWA!C24</f>
        <v>0.0516366153176946</v>
      </c>
      <c r="D16" s="31" t="n">
        <f aca="false">Capital_RWA!D24</f>
        <v>0.0570517034781999</v>
      </c>
      <c r="E16" s="31" t="n">
        <f aca="false">Capital_RWA!E24</f>
        <v>0.0621951566399257</v>
      </c>
      <c r="F16" s="31" t="n">
        <f aca="false">Capital_RWA!F24</f>
        <v>0.0670760858152527</v>
      </c>
      <c r="G16" s="31" t="n">
        <f aca="false">Capital_RWA!G24</f>
        <v>0.0717035033383769</v>
      </c>
    </row>
    <row r="17" customFormat="false" ht="15" hidden="false" customHeight="false" outlineLevel="0" collapsed="false">
      <c r="B17" s="11" t="s">
        <v>192</v>
      </c>
      <c r="C17" s="31" t="n">
        <f aca="false">NII_Margins!C19</f>
        <v>0.0370211128216406</v>
      </c>
      <c r="D17" s="31" t="n">
        <f aca="false">NII_Margins!D19</f>
        <v>0.0377146338049993</v>
      </c>
      <c r="E17" s="31" t="n">
        <f aca="false">NII_Margins!E19</f>
        <v>0.0383746919091198</v>
      </c>
      <c r="F17" s="31" t="n">
        <f aca="false">NII_Margins!F19</f>
        <v>0.0390313962651004</v>
      </c>
      <c r="G17" s="31" t="n">
        <f aca="false">NII_Margins!G19</f>
        <v>0.0396844980105712</v>
      </c>
    </row>
    <row r="18" customFormat="false" ht="15" hidden="false" customHeight="false" outlineLevel="0" collapsed="false">
      <c r="B18" s="11" t="s">
        <v>197</v>
      </c>
      <c r="C18" s="31" t="n">
        <f aca="false">Opex_Capex!C16</f>
        <v>0.55</v>
      </c>
      <c r="D18" s="31" t="n">
        <f aca="false">Opex_Capex!D16</f>
        <v>0.55</v>
      </c>
      <c r="E18" s="31" t="n">
        <f aca="false">Opex_Capex!E16</f>
        <v>0.55</v>
      </c>
      <c r="F18" s="31" t="n">
        <f aca="false">Opex_Capex!F16</f>
        <v>0.55</v>
      </c>
      <c r="G18" s="31" t="n">
        <f aca="false">Opex_Capex!G16</f>
        <v>0.55</v>
      </c>
    </row>
    <row r="19" customFormat="false" ht="15" hidden="false" customHeight="false" outlineLevel="0" collapsed="false">
      <c r="B19" s="11" t="s">
        <v>155</v>
      </c>
      <c r="C19" s="29" t="n">
        <f aca="false">Loan_Book!C42</f>
        <v>8398.25</v>
      </c>
      <c r="D19" s="29" t="n">
        <f aca="false">Loan_Book!D42</f>
        <v>8800.77575</v>
      </c>
      <c r="E19" s="29" t="n">
        <f aca="false">Loan_Book!E42</f>
        <v>9223.50518975</v>
      </c>
      <c r="F19" s="29" t="n">
        <f aca="false">Loan_Book!F42</f>
        <v>9667.50198536675</v>
      </c>
      <c r="G19" s="29" t="n">
        <f aca="false">Loan_Book!G42</f>
        <v>10133.8884190737</v>
      </c>
    </row>
    <row r="22" customFormat="false" ht="15" hidden="false" customHeight="false" outlineLevel="0" collapsed="false">
      <c r="B22" s="23" t="s">
        <v>284</v>
      </c>
      <c r="C22" s="24"/>
      <c r="D22" s="24"/>
      <c r="E22" s="24"/>
      <c r="F22" s="24"/>
      <c r="G22" s="24"/>
    </row>
    <row r="23" customFormat="false" ht="15" hidden="false" customHeight="false" outlineLevel="0" collapsed="false">
      <c r="B23" s="46" t="s">
        <v>285</v>
      </c>
      <c r="C23" s="40" t="n">
        <f aca="false">Capital_RWA!E23</f>
        <v>0.167195156639926</v>
      </c>
    </row>
    <row r="24" customFormat="false" ht="15" hidden="false" customHeight="false" outlineLevel="0" collapsed="false">
      <c r="B24" s="46" t="s">
        <v>286</v>
      </c>
      <c r="C24" s="13" t="s">
        <v>287</v>
      </c>
    </row>
    <row r="26" customFormat="false" ht="15" hidden="false" customHeight="false" outlineLevel="0" collapsed="false">
      <c r="B26" s="36" t="s">
        <v>288</v>
      </c>
      <c r="C26" s="47" t="s">
        <v>289</v>
      </c>
    </row>
    <row r="27" customFormat="false" ht="15" hidden="false" customHeight="false" outlineLevel="0" collapsed="false">
      <c r="B27" s="32" t="n">
        <v>0.5</v>
      </c>
      <c r="C27" s="48"/>
    </row>
    <row r="28" customFormat="false" ht="15" hidden="false" customHeight="false" outlineLevel="0" collapsed="false">
      <c r="B28" s="32" t="n">
        <v>1</v>
      </c>
      <c r="C28" s="48"/>
    </row>
    <row r="29" customFormat="false" ht="15" hidden="false" customHeight="false" outlineLevel="0" collapsed="false">
      <c r="B29" s="32" t="n">
        <v>1.5</v>
      </c>
      <c r="C29" s="48"/>
    </row>
    <row r="30" customFormat="false" ht="15" hidden="false" customHeight="false" outlineLevel="0" collapsed="false">
      <c r="B30" s="32" t="n">
        <v>2</v>
      </c>
      <c r="C30" s="48"/>
    </row>
    <row r="31" customFormat="false" ht="15" hidden="false" customHeight="false" outlineLevel="0" collapsed="false">
      <c r="B31" s="32" t="n">
        <v>2.5</v>
      </c>
      <c r="C31" s="48"/>
    </row>
    <row r="32" customFormat="false" ht="15" hidden="false" customHeight="false" outlineLevel="0" collapsed="false">
      <c r="B32" s="32" t="n">
        <v>3</v>
      </c>
      <c r="C32" s="48"/>
    </row>
    <row r="33" customFormat="false" ht="15" hidden="false" customHeight="false" outlineLevel="0" collapsed="false">
      <c r="B33" s="32" t="n">
        <v>4</v>
      </c>
      <c r="C33" s="48"/>
    </row>
    <row r="34" customFormat="false" ht="15" hidden="false" customHeight="false" outlineLevel="0" collapsed="false">
      <c r="B34" s="32" t="n">
        <v>5</v>
      </c>
      <c r="C34" s="48"/>
    </row>
    <row r="36" customFormat="false" ht="57.45" hidden="false" customHeight="false" outlineLevel="0" collapsed="false">
      <c r="B36" s="49" t="s">
        <v>290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291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292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9" customFormat="false" ht="15" hidden="false" customHeight="false" outlineLevel="0" collapsed="false">
      <c r="B9" s="11" t="s">
        <v>293</v>
      </c>
      <c r="C9" s="50" t="str">
        <f aca="false">IF(ABS(Balance_Sheet!C30)&lt;1,"TRUE","FALSE")</f>
        <v>TRUE</v>
      </c>
      <c r="D9" s="50" t="str">
        <f aca="false">IF(ABS(Balance_Sheet!D30)&lt;1,"TRUE","FALSE")</f>
        <v>TRUE</v>
      </c>
      <c r="E9" s="50" t="str">
        <f aca="false">IF(ABS(Balance_Sheet!E30)&lt;1,"TRUE","FALSE")</f>
        <v>TRUE</v>
      </c>
      <c r="F9" s="50" t="str">
        <f aca="false">IF(ABS(Balance_Sheet!F30)&lt;1,"TRUE","FALSE")</f>
        <v>TRUE</v>
      </c>
      <c r="G9" s="50" t="str">
        <f aca="false">IF(ABS(Balance_Sheet!G30)&lt;1,"TRUE","FALSE")</f>
        <v>TRUE</v>
      </c>
    </row>
    <row r="10" customFormat="false" ht="15" hidden="false" customHeight="false" outlineLevel="0" collapsed="false">
      <c r="B10" s="11" t="s">
        <v>294</v>
      </c>
      <c r="C10" s="50" t="str">
        <f aca="false">IF(Capital_RWA!C23&gt;=0.045,"TRUE","FALSE")</f>
        <v>TRUE</v>
      </c>
      <c r="D10" s="50" t="str">
        <f aca="false">IF(Capital_RWA!D23&gt;=0.045,"TRUE","FALSE")</f>
        <v>TRUE</v>
      </c>
      <c r="E10" s="50" t="str">
        <f aca="false">IF(Capital_RWA!E23&gt;=0.045,"TRUE","FALSE")</f>
        <v>TRUE</v>
      </c>
      <c r="F10" s="50" t="str">
        <f aca="false">IF(Capital_RWA!F23&gt;=0.045,"TRUE","FALSE")</f>
        <v>TRUE</v>
      </c>
      <c r="G10" s="50" t="str">
        <f aca="false">IF(Capital_RWA!G23&gt;=0.045,"TRUE","FALSE")</f>
        <v>TRUE</v>
      </c>
    </row>
    <row r="11" customFormat="false" ht="15" hidden="false" customHeight="false" outlineLevel="0" collapsed="false">
      <c r="B11" s="11" t="s">
        <v>295</v>
      </c>
      <c r="C11" s="50" t="str">
        <f aca="false">IF(Capital_RWA!C23&gt;=0.07,"TRUE","FALSE")</f>
        <v>TRUE</v>
      </c>
      <c r="D11" s="50" t="str">
        <f aca="false">IF(Capital_RWA!D23&gt;=0.07,"TRUE","FALSE")</f>
        <v>TRUE</v>
      </c>
      <c r="E11" s="50" t="str">
        <f aca="false">IF(Capital_RWA!E23&gt;=0.07,"TRUE","FALSE")</f>
        <v>TRUE</v>
      </c>
      <c r="F11" s="50" t="str">
        <f aca="false">IF(Capital_RWA!F23&gt;=0.07,"TRUE","FALSE")</f>
        <v>TRUE</v>
      </c>
      <c r="G11" s="50" t="str">
        <f aca="false">IF(Capital_RWA!G23&gt;=0.07,"TRUE","FALSE")</f>
        <v>TRUE</v>
      </c>
    </row>
    <row r="12" customFormat="false" ht="15" hidden="false" customHeight="false" outlineLevel="0" collapsed="false">
      <c r="B12" s="11" t="s">
        <v>296</v>
      </c>
      <c r="C12" s="50" t="str">
        <f aca="false">IF(AND(NII_Margins!C19&gt;=0.005,NII_Margins!C19&lt;=0.055),"TRUE","FALSE")</f>
        <v>TRUE</v>
      </c>
      <c r="D12" s="50" t="str">
        <f aca="false">IF(AND(NII_Margins!D19&gt;=0.005,NII_Margins!D19&lt;=0.055),"TRUE","FALSE")</f>
        <v>TRUE</v>
      </c>
      <c r="E12" s="50" t="str">
        <f aca="false">IF(AND(NII_Margins!E19&gt;=0.005,NII_Margins!E19&lt;=0.055),"TRUE","FALSE")</f>
        <v>TRUE</v>
      </c>
      <c r="F12" s="50" t="str">
        <f aca="false">IF(AND(NII_Margins!F19&gt;=0.005,NII_Margins!F19&lt;=0.055),"TRUE","FALSE")</f>
        <v>TRUE</v>
      </c>
      <c r="G12" s="50" t="str">
        <f aca="false">IF(AND(NII_Margins!G19&gt;=0.005,NII_Margins!G19&lt;=0.055),"TRUE","FALSE")</f>
        <v>TRUE</v>
      </c>
    </row>
    <row r="13" customFormat="false" ht="15" hidden="false" customHeight="false" outlineLevel="0" collapsed="false">
      <c r="B13" s="11" t="s">
        <v>297</v>
      </c>
      <c r="C13" s="50" t="str">
        <f aca="false">IF(Loan_Book!C44/Loan_Book!C42&gt;=0.005,"TRUE","FALSE")</f>
        <v>TRUE</v>
      </c>
      <c r="D13" s="50" t="str">
        <f aca="false">IF(Loan_Book!D44/Loan_Book!D42&gt;=0.005,"TRUE","FALSE")</f>
        <v>TRUE</v>
      </c>
      <c r="E13" s="50" t="str">
        <f aca="false">IF(Loan_Book!E44/Loan_Book!E42&gt;=0.005,"TRUE","FALSE")</f>
        <v>TRUE</v>
      </c>
      <c r="F13" s="50" t="str">
        <f aca="false">IF(Loan_Book!F44/Loan_Book!F42&gt;=0.005,"TRUE","FALSE")</f>
        <v>TRUE</v>
      </c>
      <c r="G13" s="50" t="str">
        <f aca="false">IF(Loan_Book!G44/Loan_Book!G42&gt;=0.005,"TRUE","FALSE")</f>
        <v>FALSE</v>
      </c>
    </row>
    <row r="14" customFormat="false" ht="15" hidden="false" customHeight="false" outlineLevel="0" collapsed="false">
      <c r="B14" s="11" t="s">
        <v>298</v>
      </c>
      <c r="C14" s="50" t="str">
        <f aca="false">IF(Loan_Book!C42/Funding_Book!C12&lt;=1.2,"TRUE","FALSE")</f>
        <v>FALSE</v>
      </c>
      <c r="D14" s="50" t="str">
        <f aca="false">IF(Loan_Book!D42/Funding_Book!D12&lt;=1.2,"TRUE","FALSE")</f>
        <v>FALSE</v>
      </c>
      <c r="E14" s="50" t="str">
        <f aca="false">IF(Loan_Book!E42/Funding_Book!E12&lt;=1.2,"TRUE","FALSE")</f>
        <v>FALSE</v>
      </c>
      <c r="F14" s="50" t="str">
        <f aca="false">IF(Loan_Book!F42/Funding_Book!F12&lt;=1.2,"TRUE","FALSE")</f>
        <v>FALSE</v>
      </c>
      <c r="G14" s="50" t="str">
        <f aca="false">IF(Loan_Book!G42/Funding_Book!G12&lt;=1.2,"TRUE","FALSE")</f>
        <v>FALSE</v>
      </c>
    </row>
    <row r="15" customFormat="false" ht="15" hidden="false" customHeight="false" outlineLevel="0" collapsed="false">
      <c r="B15" s="11" t="s">
        <v>299</v>
      </c>
      <c r="C15" s="50" t="str">
        <f aca="false">IF(OR(Capital_RWA!C23&gt;=0.07,Income_Statement!C25=0),"TRUE","FALSE")</f>
        <v>TRUE</v>
      </c>
      <c r="D15" s="50" t="str">
        <f aca="false">IF(OR(Capital_RWA!D23&gt;=0.07,Income_Statement!D25=0),"TRUE","FALSE")</f>
        <v>TRUE</v>
      </c>
      <c r="E15" s="50" t="str">
        <f aca="false">IF(OR(Capital_RWA!E23&gt;=0.07,Income_Statement!E25=0),"TRUE","FALSE")</f>
        <v>TRUE</v>
      </c>
      <c r="F15" s="50" t="str">
        <f aca="false">IF(OR(Capital_RWA!F23&gt;=0.07,Income_Statement!F25=0),"TRUE","FALSE")</f>
        <v>TRUE</v>
      </c>
      <c r="G15" s="50" t="str">
        <f aca="false">IF(OR(Capital_RWA!G23&gt;=0.07,Income_Statement!G25=0),"TRUE","FALSE")</f>
        <v>TRUE</v>
      </c>
    </row>
    <row r="16" customFormat="false" ht="15" hidden="false" customHeight="false" outlineLevel="0" collapsed="false">
      <c r="B16" s="11" t="s">
        <v>300</v>
      </c>
      <c r="C16" s="50" t="str">
        <f aca="false">IF(Loan_Book!C44&gt;=0,"TRUE","FALSE")</f>
        <v>TRUE</v>
      </c>
      <c r="D16" s="50" t="str">
        <f aca="false">IF(Loan_Book!D44&gt;=0,"TRUE","FALSE")</f>
        <v>TRUE</v>
      </c>
      <c r="E16" s="50" t="str">
        <f aca="false">IF(Loan_Book!E44&gt;=0,"TRUE","FALSE")</f>
        <v>TRUE</v>
      </c>
      <c r="F16" s="50" t="str">
        <f aca="false">IF(Loan_Book!F44&gt;=0,"TRUE","FALSE")</f>
        <v>TRUE</v>
      </c>
      <c r="G16" s="50" t="str">
        <f aca="false">IF(Loan_Book!G44&gt;=0,"TRUE","FALSE")</f>
        <v>TRUE</v>
      </c>
    </row>
    <row r="17" customFormat="false" ht="15" hidden="false" customHeight="false" outlineLevel="0" collapsed="false">
      <c r="B17" s="11" t="s">
        <v>301</v>
      </c>
      <c r="C17" s="50" t="str">
        <f aca="false">IF(Balance_Sheet!C21&gt;=0,"TRUE","FALSE")</f>
        <v>TRUE</v>
      </c>
      <c r="D17" s="50" t="str">
        <f aca="false">IF(Balance_Sheet!D21&gt;=0,"TRUE","FALSE")</f>
        <v>TRUE</v>
      </c>
      <c r="E17" s="50" t="str">
        <f aca="false">IF(Balance_Sheet!E21&gt;=0,"TRUE","FALSE")</f>
        <v>TRUE</v>
      </c>
      <c r="F17" s="50" t="str">
        <f aca="false">IF(Balance_Sheet!F21&gt;=0,"TRUE","FALSE")</f>
        <v>TRUE</v>
      </c>
      <c r="G17" s="50" t="str">
        <f aca="false">IF(Balance_Sheet!G21&gt;=0,"TRUE","FALSE")</f>
        <v>TRUE</v>
      </c>
    </row>
    <row r="18" customFormat="false" ht="15" hidden="false" customHeight="false" outlineLevel="0" collapsed="false">
      <c r="B18" s="11" t="s">
        <v>302</v>
      </c>
      <c r="C18" s="50" t="str">
        <f aca="false">IF(AND(Scenario_Toggle&gt;=1,Scenario_Toggle&lt;=3),"TRUE","FALSE")</f>
        <v>TRUE</v>
      </c>
      <c r="D18" s="50" t="str">
        <f aca="false">IF(AND(Scenario_Toggle&gt;=1,Scenario_Toggle&lt;=3),"TRUE","FALSE")</f>
        <v>TRUE</v>
      </c>
      <c r="E18" s="50" t="str">
        <f aca="false">IF(AND(Scenario_Toggle&gt;=1,Scenario_Toggle&lt;=3),"TRUE","FALSE")</f>
        <v>TRUE</v>
      </c>
      <c r="F18" s="50" t="str">
        <f aca="false">IF(AND(Scenario_Toggle&gt;=1,Scenario_Toggle&lt;=3),"TRUE","FALSE")</f>
        <v>TRUE</v>
      </c>
      <c r="G18" s="50" t="str">
        <f aca="false">IF(AND(Scenario_Toggle&gt;=1,Scenario_Toggle&lt;=3),"TRUE","FALSE")</f>
        <v>TRUE</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51" t="s">
        <v>303</v>
      </c>
    </row>
    <row r="3" customFormat="false" ht="3.75" hidden="false" customHeight="true" outlineLevel="0" collapsed="false">
      <c r="B3" s="52"/>
    </row>
    <row r="5" customFormat="false" ht="19.5" hidden="false" customHeight="true" outlineLevel="0" collapsed="false">
      <c r="B5" s="53" t="s">
        <v>304</v>
      </c>
    </row>
    <row r="6" customFormat="false" ht="48" hidden="false" customHeight="true" outlineLevel="0" collapsed="false">
      <c r="B6" s="54" t="s">
        <v>305</v>
      </c>
    </row>
    <row r="8" customFormat="false" ht="19.5" hidden="false" customHeight="true" outlineLevel="0" collapsed="false">
      <c r="B8" s="53" t="s">
        <v>306</v>
      </c>
    </row>
    <row r="9" customFormat="false" ht="61.5" hidden="false" customHeight="true" outlineLevel="0" collapsed="false">
      <c r="B9" s="54" t="s">
        <v>307</v>
      </c>
    </row>
    <row r="11" customFormat="false" ht="19.5" hidden="false" customHeight="true" outlineLevel="0" collapsed="false">
      <c r="B11" s="53" t="s">
        <v>308</v>
      </c>
    </row>
    <row r="12" customFormat="false" ht="75.75" hidden="false" customHeight="true" outlineLevel="0" collapsed="false">
      <c r="B12" s="54" t="s">
        <v>309</v>
      </c>
    </row>
    <row r="14" customFormat="false" ht="19.5" hidden="false" customHeight="true" outlineLevel="0" collapsed="false">
      <c r="B14" s="53" t="s">
        <v>310</v>
      </c>
    </row>
    <row r="15" customFormat="false" ht="61.5" hidden="false" customHeight="true" outlineLevel="0" collapsed="false">
      <c r="B15" s="54" t="s">
        <v>311</v>
      </c>
    </row>
    <row r="17" customFormat="false" ht="19.5" hidden="false" customHeight="true" outlineLevel="0" collapsed="false">
      <c r="B17" s="53" t="s">
        <v>312</v>
      </c>
    </row>
    <row r="18" customFormat="false" ht="33.75" hidden="false" customHeight="true" outlineLevel="0" collapsed="false">
      <c r="B18" s="54" t="s">
        <v>313</v>
      </c>
    </row>
    <row r="20" customFormat="false" ht="19.5" hidden="false" customHeight="true" outlineLevel="0" collapsed="false">
      <c r="B20" s="53" t="s">
        <v>314</v>
      </c>
    </row>
    <row r="21" customFormat="false" ht="33.75" hidden="false" customHeight="true" outlineLevel="0" collapsed="false">
      <c r="B21" s="54" t="s">
        <v>315</v>
      </c>
    </row>
    <row r="23" customFormat="false" ht="21.75" hidden="false" customHeight="true" outlineLevel="0" collapsed="false">
      <c r="B23" s="55" t="s">
        <v>316</v>
      </c>
    </row>
    <row r="25" customFormat="false" ht="18" hidden="false" customHeight="true" outlineLevel="0" collapsed="false">
      <c r="B25" s="56" t="s">
        <v>317</v>
      </c>
    </row>
    <row r="26" customFormat="false" ht="201.75" hidden="false" customHeight="true" outlineLevel="0" collapsed="false">
      <c r="B26" s="57" t="s">
        <v>318</v>
      </c>
    </row>
    <row r="28" customFormat="false" ht="18" hidden="false" customHeight="true" outlineLevel="0" collapsed="false">
      <c r="B28" s="58" t="s">
        <v>319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6E4F0"/>
    <pageSetUpPr fitToPage="false"/>
  </sheetPr>
  <dimension ref="A1:AD7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8"/>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9" t="s">
        <v>36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37</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20" t="s">
        <v>38</v>
      </c>
      <c r="C4" s="20" t="s">
        <v>14</v>
      </c>
      <c r="D4" s="20" t="s">
        <v>15</v>
      </c>
      <c r="E4" s="20" t="s">
        <v>16</v>
      </c>
      <c r="F4" s="20" t="s">
        <v>39</v>
      </c>
      <c r="G4" s="20" t="s">
        <v>40</v>
      </c>
    </row>
    <row r="5" customFormat="false" ht="15" hidden="false" customHeight="false" outlineLevel="0" collapsed="false">
      <c r="B5" s="5" t="s">
        <v>41</v>
      </c>
      <c r="C5" s="21" t="n">
        <v>1</v>
      </c>
      <c r="F5" s="22" t="n">
        <f aca="false">$C$5</f>
        <v>1</v>
      </c>
    </row>
    <row r="6" customFormat="false" ht="15" hidden="false" customHeight="false" outlineLevel="0" collapsed="false">
      <c r="B6" s="23" t="s">
        <v>42</v>
      </c>
      <c r="C6" s="24"/>
      <c r="D6" s="24"/>
      <c r="E6" s="24"/>
      <c r="F6" s="24"/>
      <c r="G6" s="24"/>
    </row>
    <row r="7" customFormat="false" ht="15" hidden="false" customHeight="false" outlineLevel="0" collapsed="false">
      <c r="B7" s="11" t="s">
        <v>43</v>
      </c>
      <c r="C7" s="25" t="n">
        <v>2025</v>
      </c>
      <c r="F7" s="26" t="n">
        <f aca="false">$C$7</f>
        <v>2025</v>
      </c>
      <c r="G7" s="27" t="s">
        <v>44</v>
      </c>
    </row>
    <row r="8" customFormat="false" ht="15" hidden="false" customHeight="false" outlineLevel="0" collapsed="false">
      <c r="B8" s="11" t="s">
        <v>45</v>
      </c>
      <c r="C8" s="28" t="n">
        <v>10000</v>
      </c>
      <c r="F8" s="29" t="n">
        <f aca="false">$C$8</f>
        <v>10000</v>
      </c>
      <c r="G8" s="27" t="s">
        <v>46</v>
      </c>
    </row>
    <row r="9" customFormat="false" ht="15" hidden="false" customHeight="false" outlineLevel="0" collapsed="false">
      <c r="B9" s="23" t="s">
        <v>47</v>
      </c>
      <c r="C9" s="24"/>
      <c r="D9" s="24"/>
      <c r="E9" s="24"/>
      <c r="F9" s="24"/>
      <c r="G9" s="24"/>
    </row>
    <row r="10" customFormat="false" ht="15" hidden="false" customHeight="false" outlineLevel="0" collapsed="false">
      <c r="B10" s="11" t="s">
        <v>48</v>
      </c>
      <c r="C10" s="30" t="n">
        <v>0.045</v>
      </c>
      <c r="D10" s="30" t="n">
        <v>0.035</v>
      </c>
      <c r="E10" s="30" t="n">
        <v>0.025</v>
      </c>
      <c r="F10" s="31" t="n">
        <f aca="false">CHOOSE(Scenario_Toggle,$C$10,$D$10,$E$10)</f>
        <v>0.045</v>
      </c>
      <c r="G10" s="27" t="s">
        <v>49</v>
      </c>
    </row>
    <row r="11" customFormat="false" ht="15" hidden="false" customHeight="false" outlineLevel="0" collapsed="false">
      <c r="B11" s="11" t="s">
        <v>50</v>
      </c>
      <c r="C11" s="25" t="n">
        <v>75</v>
      </c>
      <c r="D11" s="25" t="n">
        <v>-100</v>
      </c>
      <c r="E11" s="25" t="n">
        <v>-200</v>
      </c>
      <c r="F11" s="26" t="n">
        <f aca="false">CHOOSE(Scenario_Toggle,$C$11,$D$11,$E$11)</f>
        <v>75</v>
      </c>
      <c r="G11" s="27" t="s">
        <v>51</v>
      </c>
    </row>
    <row r="12" customFormat="false" ht="15" hidden="false" customHeight="false" outlineLevel="0" collapsed="false">
      <c r="B12" s="11" t="s">
        <v>52</v>
      </c>
      <c r="C12" s="30" t="n">
        <v>0.8</v>
      </c>
      <c r="D12" s="30" t="n">
        <v>0.7</v>
      </c>
      <c r="E12" s="30" t="n">
        <v>0.6</v>
      </c>
      <c r="F12" s="31" t="n">
        <f aca="false">CHOOSE(Scenario_Toggle,$C$12,$D$12,$E$12)</f>
        <v>0.8</v>
      </c>
      <c r="G12" s="27" t="s">
        <v>49</v>
      </c>
    </row>
    <row r="13" customFormat="false" ht="15" hidden="false" customHeight="false" outlineLevel="0" collapsed="false">
      <c r="B13" s="11" t="s">
        <v>53</v>
      </c>
      <c r="C13" s="30" t="n">
        <v>0.5</v>
      </c>
      <c r="D13" s="30" t="n">
        <v>0.4</v>
      </c>
      <c r="E13" s="30" t="n">
        <v>0.3</v>
      </c>
      <c r="F13" s="31" t="n">
        <f aca="false">CHOOSE(Scenario_Toggle,$C$13,$D$13,$E$13)</f>
        <v>0.5</v>
      </c>
      <c r="G13" s="27" t="s">
        <v>49</v>
      </c>
    </row>
    <row r="14" customFormat="false" ht="15" hidden="false" customHeight="false" outlineLevel="0" collapsed="false">
      <c r="B14" s="11" t="s">
        <v>54</v>
      </c>
      <c r="C14" s="30" t="n">
        <v>0.01</v>
      </c>
      <c r="D14" s="30" t="n">
        <v>0.015</v>
      </c>
      <c r="E14" s="30" t="n">
        <v>0.03</v>
      </c>
      <c r="F14" s="31" t="n">
        <f aca="false">CHOOSE(Scenario_Toggle,$C$14,$D$14,$E$14)</f>
        <v>0.01</v>
      </c>
      <c r="G14" s="27" t="s">
        <v>49</v>
      </c>
    </row>
    <row r="15" customFormat="false" ht="15" hidden="false" customHeight="false" outlineLevel="0" collapsed="false">
      <c r="B15" s="11" t="s">
        <v>55</v>
      </c>
      <c r="C15" s="30" t="n">
        <v>0.03</v>
      </c>
      <c r="D15" s="30" t="n">
        <v>-0.05</v>
      </c>
      <c r="E15" s="30" t="n">
        <v>-0.15</v>
      </c>
      <c r="F15" s="31" t="n">
        <f aca="false">CHOOSE(Scenario_Toggle,$C$15,$D$15,$E$15)</f>
        <v>0.03</v>
      </c>
      <c r="G15" s="27" t="s">
        <v>56</v>
      </c>
    </row>
    <row r="16" customFormat="false" ht="15" hidden="false" customHeight="false" outlineLevel="0" collapsed="false">
      <c r="B16" s="11" t="s">
        <v>57</v>
      </c>
      <c r="C16" s="30" t="n">
        <v>0</v>
      </c>
      <c r="D16" s="30" t="n">
        <v>0.1</v>
      </c>
      <c r="E16" s="30" t="n">
        <v>0.2</v>
      </c>
      <c r="F16" s="31" t="n">
        <f aca="false">CHOOSE(Scenario_Toggle,$C$16,$D$16,$E$16)</f>
        <v>0</v>
      </c>
      <c r="G16" s="27" t="s">
        <v>58</v>
      </c>
    </row>
    <row r="17" customFormat="false" ht="15" hidden="false" customHeight="false" outlineLevel="0" collapsed="false">
      <c r="B17" s="23" t="s">
        <v>59</v>
      </c>
      <c r="C17" s="24"/>
      <c r="D17" s="24"/>
      <c r="E17" s="24"/>
      <c r="F17" s="24"/>
      <c r="G17" s="24"/>
    </row>
    <row r="18" customFormat="false" ht="15" hidden="false" customHeight="false" outlineLevel="0" collapsed="false">
      <c r="B18" s="11" t="s">
        <v>60</v>
      </c>
      <c r="C18" s="28" t="n">
        <v>3500</v>
      </c>
      <c r="F18" s="29" t="n">
        <f aca="false">$C$18</f>
        <v>3500</v>
      </c>
      <c r="G18" s="27" t="s">
        <v>46</v>
      </c>
    </row>
    <row r="19" customFormat="false" ht="15" hidden="false" customHeight="false" outlineLevel="0" collapsed="false">
      <c r="B19" s="11" t="s">
        <v>61</v>
      </c>
      <c r="C19" s="28" t="n">
        <v>2000</v>
      </c>
      <c r="F19" s="29" t="n">
        <f aca="false">$C$19</f>
        <v>2000</v>
      </c>
      <c r="G19" s="27" t="s">
        <v>46</v>
      </c>
    </row>
    <row r="20" customFormat="false" ht="15" hidden="false" customHeight="false" outlineLevel="0" collapsed="false">
      <c r="B20" s="11" t="s">
        <v>62</v>
      </c>
      <c r="C20" s="28" t="n">
        <v>2500</v>
      </c>
      <c r="F20" s="29" t="n">
        <f aca="false">$C$20</f>
        <v>2500</v>
      </c>
      <c r="G20" s="27" t="s">
        <v>46</v>
      </c>
    </row>
    <row r="21" customFormat="false" ht="15" hidden="false" customHeight="false" outlineLevel="0" collapsed="false">
      <c r="B21" s="23" t="s">
        <v>63</v>
      </c>
      <c r="C21" s="24"/>
      <c r="D21" s="24"/>
      <c r="E21" s="24"/>
      <c r="F21" s="24"/>
      <c r="G21" s="24"/>
    </row>
    <row r="22" customFormat="false" ht="15" hidden="false" customHeight="false" outlineLevel="0" collapsed="false">
      <c r="B22" s="11" t="s">
        <v>64</v>
      </c>
      <c r="C22" s="30" t="n">
        <v>0.05</v>
      </c>
      <c r="D22" s="30" t="n">
        <v>0</v>
      </c>
      <c r="E22" s="30" t="n">
        <v>-0.03</v>
      </c>
      <c r="F22" s="31" t="n">
        <f aca="false">CHOOSE(Scenario_Toggle,$C$22,$D$22,$E$22)</f>
        <v>0.05</v>
      </c>
      <c r="G22" s="27" t="s">
        <v>56</v>
      </c>
    </row>
    <row r="23" customFormat="false" ht="15" hidden="false" customHeight="false" outlineLevel="0" collapsed="false">
      <c r="B23" s="11" t="s">
        <v>65</v>
      </c>
      <c r="C23" s="30" t="n">
        <v>0.08</v>
      </c>
      <c r="D23" s="30" t="n">
        <v>-0.01</v>
      </c>
      <c r="E23" s="30" t="n">
        <v>-0.05</v>
      </c>
      <c r="F23" s="31" t="n">
        <f aca="false">CHOOSE(Scenario_Toggle,$C$23,$D$23,$E$23)</f>
        <v>0.08</v>
      </c>
      <c r="G23" s="27" t="s">
        <v>56</v>
      </c>
    </row>
    <row r="24" customFormat="false" ht="15" hidden="false" customHeight="false" outlineLevel="0" collapsed="false">
      <c r="B24" s="11" t="s">
        <v>66</v>
      </c>
      <c r="C24" s="30" t="n">
        <v>0.04</v>
      </c>
      <c r="D24" s="30" t="n">
        <v>0.01</v>
      </c>
      <c r="E24" s="30" t="n">
        <v>-0.02</v>
      </c>
      <c r="F24" s="31" t="n">
        <f aca="false">CHOOSE(Scenario_Toggle,$C$24,$D$24,$E$24)</f>
        <v>0.04</v>
      </c>
      <c r="G24" s="27" t="s">
        <v>56</v>
      </c>
    </row>
    <row r="25" customFormat="false" ht="15" hidden="false" customHeight="false" outlineLevel="0" collapsed="false">
      <c r="B25" s="23" t="s">
        <v>67</v>
      </c>
      <c r="C25" s="24"/>
      <c r="D25" s="24"/>
      <c r="E25" s="24"/>
      <c r="F25" s="24"/>
      <c r="G25" s="24"/>
    </row>
    <row r="26" customFormat="false" ht="15" hidden="false" customHeight="false" outlineLevel="0" collapsed="false">
      <c r="B26" s="11" t="s">
        <v>68</v>
      </c>
      <c r="C26" s="30" t="n">
        <v>0.005</v>
      </c>
      <c r="F26" s="31" t="n">
        <f aca="false">$C$26</f>
        <v>0.005</v>
      </c>
      <c r="G26" s="27" t="s">
        <v>69</v>
      </c>
    </row>
    <row r="27" customFormat="false" ht="15" hidden="false" customHeight="false" outlineLevel="0" collapsed="false">
      <c r="B27" s="11" t="s">
        <v>70</v>
      </c>
      <c r="C27" s="30" t="n">
        <v>0.015</v>
      </c>
      <c r="F27" s="31" t="n">
        <f aca="false">$C$27</f>
        <v>0.015</v>
      </c>
      <c r="G27" s="27" t="s">
        <v>69</v>
      </c>
    </row>
    <row r="28" customFormat="false" ht="15" hidden="false" customHeight="false" outlineLevel="0" collapsed="false">
      <c r="B28" s="11" t="s">
        <v>71</v>
      </c>
      <c r="C28" s="30" t="n">
        <v>0.002</v>
      </c>
      <c r="F28" s="31" t="n">
        <f aca="false">$C$28</f>
        <v>0.002</v>
      </c>
      <c r="G28" s="27" t="s">
        <v>69</v>
      </c>
    </row>
    <row r="29" customFormat="false" ht="15" hidden="false" customHeight="false" outlineLevel="0" collapsed="false">
      <c r="B29" s="23" t="s">
        <v>72</v>
      </c>
      <c r="C29" s="24"/>
      <c r="D29" s="24"/>
      <c r="E29" s="24"/>
      <c r="F29" s="24"/>
      <c r="G29" s="24"/>
    </row>
    <row r="30" customFormat="false" ht="15" hidden="false" customHeight="false" outlineLevel="0" collapsed="false">
      <c r="B30" s="11" t="s">
        <v>73</v>
      </c>
      <c r="C30" s="32" t="n">
        <v>1</v>
      </c>
      <c r="D30" s="32" t="n">
        <v>2.5</v>
      </c>
      <c r="E30" s="32" t="n">
        <v>4.5</v>
      </c>
      <c r="F30" s="33" t="n">
        <f aca="false">CHOOSE(Scenario_Toggle,$C$30,$D$30,$E$30)</f>
        <v>1</v>
      </c>
      <c r="G30" s="27" t="s">
        <v>74</v>
      </c>
    </row>
    <row r="31" customFormat="false" ht="15" hidden="false" customHeight="false" outlineLevel="0" collapsed="false">
      <c r="B31" s="11" t="s">
        <v>75</v>
      </c>
      <c r="C31" s="32" t="n">
        <v>1</v>
      </c>
      <c r="D31" s="32" t="n">
        <v>2</v>
      </c>
      <c r="E31" s="32" t="n">
        <v>3.5</v>
      </c>
      <c r="F31" s="33" t="n">
        <f aca="false">CHOOSE(Scenario_Toggle,$C$31,$D$31,$E$31)</f>
        <v>1</v>
      </c>
      <c r="G31" s="27" t="s">
        <v>74</v>
      </c>
    </row>
    <row r="32" customFormat="false" ht="15" hidden="false" customHeight="false" outlineLevel="0" collapsed="false">
      <c r="B32" s="11" t="s">
        <v>76</v>
      </c>
      <c r="C32" s="32" t="n">
        <v>1</v>
      </c>
      <c r="D32" s="32" t="n">
        <v>1.8</v>
      </c>
      <c r="E32" s="32" t="n">
        <v>3</v>
      </c>
      <c r="F32" s="33" t="n">
        <f aca="false">CHOOSE(Scenario_Toggle,$C$32,$D$32,$E$32)</f>
        <v>1</v>
      </c>
      <c r="G32" s="27" t="s">
        <v>74</v>
      </c>
    </row>
    <row r="33" customFormat="false" ht="15" hidden="false" customHeight="false" outlineLevel="0" collapsed="false">
      <c r="B33" s="23" t="s">
        <v>77</v>
      </c>
      <c r="C33" s="24"/>
      <c r="D33" s="24"/>
      <c r="E33" s="24"/>
      <c r="F33" s="24"/>
      <c r="G33" s="24"/>
    </row>
    <row r="34" customFormat="false" ht="15" hidden="false" customHeight="false" outlineLevel="0" collapsed="false">
      <c r="B34" s="11" t="s">
        <v>78</v>
      </c>
      <c r="C34" s="30" t="n">
        <v>0.065</v>
      </c>
      <c r="D34" s="30" t="n">
        <v>0.057</v>
      </c>
      <c r="E34" s="30" t="n">
        <v>0.05</v>
      </c>
      <c r="F34" s="31" t="n">
        <f aca="false">CHOOSE(Scenario_Toggle,$C$34,$D$34,$E$34)</f>
        <v>0.065</v>
      </c>
      <c r="G34" s="27" t="s">
        <v>49</v>
      </c>
    </row>
    <row r="35" customFormat="false" ht="15" hidden="false" customHeight="false" outlineLevel="0" collapsed="false">
      <c r="B35" s="11" t="s">
        <v>79</v>
      </c>
      <c r="C35" s="30" t="n">
        <v>0.095</v>
      </c>
      <c r="D35" s="30" t="n">
        <v>0.085</v>
      </c>
      <c r="E35" s="30" t="n">
        <v>0.075</v>
      </c>
      <c r="F35" s="31" t="n">
        <f aca="false">CHOOSE(Scenario_Toggle,$C$35,$D$35,$E$35)</f>
        <v>0.095</v>
      </c>
      <c r="G35" s="27" t="s">
        <v>49</v>
      </c>
    </row>
    <row r="36" customFormat="false" ht="15" hidden="false" customHeight="false" outlineLevel="0" collapsed="false">
      <c r="B36" s="11" t="s">
        <v>80</v>
      </c>
      <c r="C36" s="30" t="n">
        <v>0.055</v>
      </c>
      <c r="D36" s="30" t="n">
        <v>0.047</v>
      </c>
      <c r="E36" s="30" t="n">
        <v>0.04</v>
      </c>
      <c r="F36" s="31" t="n">
        <f aca="false">CHOOSE(Scenario_Toggle,$C$36,$D$36,$E$36)</f>
        <v>0.055</v>
      </c>
      <c r="G36" s="27" t="s">
        <v>49</v>
      </c>
    </row>
    <row r="37" customFormat="false" ht="15" hidden="false" customHeight="false" outlineLevel="0" collapsed="false">
      <c r="B37" s="11" t="s">
        <v>81</v>
      </c>
      <c r="C37" s="30" t="n">
        <v>0.04</v>
      </c>
      <c r="D37" s="30" t="n">
        <v>0.031</v>
      </c>
      <c r="E37" s="30" t="n">
        <v>0.022</v>
      </c>
      <c r="F37" s="31" t="n">
        <f aca="false">CHOOSE(Scenario_Toggle,$C$37,$D$37,$E$37)</f>
        <v>0.04</v>
      </c>
      <c r="G37" s="27" t="s">
        <v>49</v>
      </c>
    </row>
    <row r="38" customFormat="false" ht="15" hidden="false" customHeight="false" outlineLevel="0" collapsed="false">
      <c r="B38" s="11" t="s">
        <v>82</v>
      </c>
      <c r="C38" s="30" t="n">
        <v>0.0425</v>
      </c>
      <c r="D38" s="30" t="n">
        <v>0.0325</v>
      </c>
      <c r="E38" s="30" t="n">
        <v>0.0225</v>
      </c>
      <c r="F38" s="31" t="n">
        <f aca="false">CHOOSE(Scenario_Toggle,$C$38,$D$38,$E$38)</f>
        <v>0.0425</v>
      </c>
      <c r="G38" s="27" t="s">
        <v>49</v>
      </c>
    </row>
    <row r="39" customFormat="false" ht="15" hidden="false" customHeight="false" outlineLevel="0" collapsed="false">
      <c r="B39" s="23" t="s">
        <v>83</v>
      </c>
      <c r="C39" s="24"/>
      <c r="D39" s="24"/>
      <c r="E39" s="24"/>
      <c r="F39" s="24"/>
      <c r="G39" s="24"/>
    </row>
    <row r="40" customFormat="false" ht="15" hidden="false" customHeight="false" outlineLevel="0" collapsed="false">
      <c r="B40" s="11" t="s">
        <v>84</v>
      </c>
      <c r="C40" s="28" t="n">
        <v>6500</v>
      </c>
      <c r="F40" s="29" t="n">
        <f aca="false">$C$40</f>
        <v>6500</v>
      </c>
      <c r="G40" s="27" t="s">
        <v>46</v>
      </c>
    </row>
    <row r="41" customFormat="false" ht="15" hidden="false" customHeight="false" outlineLevel="0" collapsed="false">
      <c r="B41" s="11" t="s">
        <v>85</v>
      </c>
      <c r="C41" s="30" t="n">
        <v>0.04</v>
      </c>
      <c r="D41" s="30" t="n">
        <v>0.01</v>
      </c>
      <c r="E41" s="30" t="n">
        <v>-0.02</v>
      </c>
      <c r="F41" s="31" t="n">
        <f aca="false">CHOOSE(Scenario_Toggle,$C$41,$D$41,$E$41)</f>
        <v>0.04</v>
      </c>
      <c r="G41" s="27" t="s">
        <v>56</v>
      </c>
    </row>
    <row r="42" customFormat="false" ht="15" hidden="false" customHeight="false" outlineLevel="0" collapsed="false">
      <c r="B42" s="11" t="s">
        <v>86</v>
      </c>
      <c r="C42" s="30" t="n">
        <v>0.025</v>
      </c>
      <c r="D42" s="30" t="n">
        <v>0.015</v>
      </c>
      <c r="E42" s="30" t="n">
        <v>0.0075</v>
      </c>
      <c r="F42" s="31" t="n">
        <f aca="false">CHOOSE(Scenario_Toggle,$C$42,$D$42,$E$42)</f>
        <v>0.025</v>
      </c>
      <c r="G42" s="27" t="s">
        <v>49</v>
      </c>
    </row>
    <row r="43" customFormat="false" ht="15" hidden="false" customHeight="false" outlineLevel="0" collapsed="false">
      <c r="B43" s="11" t="s">
        <v>87</v>
      </c>
      <c r="C43" s="28" t="n">
        <v>2000</v>
      </c>
      <c r="F43" s="29" t="n">
        <f aca="false">$C$43</f>
        <v>2000</v>
      </c>
      <c r="G43" s="27" t="s">
        <v>46</v>
      </c>
    </row>
    <row r="44" customFormat="false" ht="15" hidden="false" customHeight="false" outlineLevel="0" collapsed="false">
      <c r="B44" s="11" t="s">
        <v>88</v>
      </c>
      <c r="C44" s="28" t="n">
        <v>500</v>
      </c>
      <c r="F44" s="29" t="n">
        <f aca="false">$C$44</f>
        <v>500</v>
      </c>
      <c r="G44" s="27" t="s">
        <v>46</v>
      </c>
    </row>
    <row r="45" customFormat="false" ht="15" hidden="false" customHeight="false" outlineLevel="0" collapsed="false">
      <c r="B45" s="23" t="s">
        <v>89</v>
      </c>
      <c r="C45" s="24"/>
      <c r="D45" s="24"/>
      <c r="E45" s="24"/>
      <c r="F45" s="24"/>
      <c r="G45" s="24"/>
    </row>
    <row r="46" customFormat="false" ht="15" hidden="false" customHeight="false" outlineLevel="0" collapsed="false">
      <c r="B46" s="11" t="s">
        <v>90</v>
      </c>
      <c r="C46" s="28" t="n">
        <v>200</v>
      </c>
      <c r="F46" s="29" t="n">
        <f aca="false">$C$46</f>
        <v>200</v>
      </c>
      <c r="G46" s="27" t="s">
        <v>46</v>
      </c>
    </row>
    <row r="48" customFormat="false" ht="15" hidden="false" customHeight="false" outlineLevel="0" collapsed="false">
      <c r="B48" s="23" t="s">
        <v>91</v>
      </c>
      <c r="C48" s="24"/>
      <c r="D48" s="24"/>
      <c r="E48" s="24"/>
      <c r="F48" s="24"/>
      <c r="G48" s="24"/>
    </row>
    <row r="49" customFormat="false" ht="15" hidden="false" customHeight="false" outlineLevel="0" collapsed="false">
      <c r="B49" s="11" t="s">
        <v>92</v>
      </c>
      <c r="C49" s="30" t="n">
        <v>0.32</v>
      </c>
      <c r="F49" s="31" t="n">
        <f aca="false">$C$49</f>
        <v>0.32</v>
      </c>
      <c r="G49" s="27" t="s">
        <v>49</v>
      </c>
    </row>
    <row r="50" customFormat="false" ht="15" hidden="false" customHeight="false" outlineLevel="0" collapsed="false">
      <c r="B50" s="11" t="s">
        <v>93</v>
      </c>
      <c r="C50" s="30" t="n">
        <v>0.1</v>
      </c>
      <c r="F50" s="31" t="n">
        <f aca="false">$C$50</f>
        <v>0.1</v>
      </c>
      <c r="G50" s="27" t="s">
        <v>49</v>
      </c>
    </row>
    <row r="51" customFormat="false" ht="15" hidden="false" customHeight="false" outlineLevel="0" collapsed="false">
      <c r="B51" s="11" t="s">
        <v>94</v>
      </c>
      <c r="C51" s="30" t="n">
        <v>0.06</v>
      </c>
      <c r="F51" s="31" t="n">
        <f aca="false">$C$51</f>
        <v>0.06</v>
      </c>
      <c r="G51" s="27" t="s">
        <v>49</v>
      </c>
    </row>
    <row r="52" customFormat="false" ht="15" hidden="false" customHeight="false" outlineLevel="0" collapsed="false">
      <c r="B52" s="11" t="s">
        <v>95</v>
      </c>
      <c r="C52" s="30" t="n">
        <v>0.04</v>
      </c>
      <c r="F52" s="31" t="n">
        <f aca="false">$C$52</f>
        <v>0.04</v>
      </c>
      <c r="G52" s="27" t="s">
        <v>49</v>
      </c>
    </row>
    <row r="53" customFormat="false" ht="15" hidden="false" customHeight="false" outlineLevel="0" collapsed="false">
      <c r="B53" s="11" t="s">
        <v>96</v>
      </c>
      <c r="C53" s="30" t="n">
        <v>0.03</v>
      </c>
      <c r="F53" s="31" t="n">
        <f aca="false">$C$53</f>
        <v>0.03</v>
      </c>
      <c r="G53" s="27" t="s">
        <v>49</v>
      </c>
    </row>
    <row r="54" customFormat="false" ht="15" hidden="false" customHeight="false" outlineLevel="0" collapsed="false">
      <c r="B54" s="23" t="s">
        <v>97</v>
      </c>
      <c r="C54" s="24"/>
      <c r="D54" s="24"/>
      <c r="E54" s="24"/>
      <c r="F54" s="24"/>
      <c r="G54" s="24"/>
    </row>
    <row r="55" customFormat="false" ht="15" hidden="false" customHeight="false" outlineLevel="0" collapsed="false">
      <c r="B55" s="11" t="s">
        <v>98</v>
      </c>
      <c r="C55" s="30" t="n">
        <v>0.03</v>
      </c>
      <c r="F55" s="31" t="n">
        <f aca="false">$C$55</f>
        <v>0.03</v>
      </c>
      <c r="G55" s="27" t="s">
        <v>49</v>
      </c>
    </row>
    <row r="56" customFormat="false" ht="15" hidden="false" customHeight="false" outlineLevel="0" collapsed="false">
      <c r="B56" s="11" t="s">
        <v>99</v>
      </c>
      <c r="C56" s="28" t="n">
        <v>300</v>
      </c>
      <c r="F56" s="29" t="n">
        <f aca="false">$C$56</f>
        <v>300</v>
      </c>
      <c r="G56" s="27" t="s">
        <v>46</v>
      </c>
    </row>
    <row r="57" customFormat="false" ht="15" hidden="false" customHeight="false" outlineLevel="0" collapsed="false">
      <c r="B57" s="11" t="s">
        <v>100</v>
      </c>
      <c r="C57" s="25" t="n">
        <v>10</v>
      </c>
      <c r="F57" s="26" t="n">
        <f aca="false">$C$57</f>
        <v>10</v>
      </c>
      <c r="G57" s="27" t="s">
        <v>101</v>
      </c>
    </row>
    <row r="58" customFormat="false" ht="15" hidden="false" customHeight="false" outlineLevel="0" collapsed="false">
      <c r="B58" s="23" t="s">
        <v>102</v>
      </c>
      <c r="C58" s="24"/>
      <c r="D58" s="24"/>
      <c r="E58" s="24"/>
      <c r="F58" s="24"/>
      <c r="G58" s="24"/>
    </row>
    <row r="59" customFormat="false" ht="15" hidden="false" customHeight="false" outlineLevel="0" collapsed="false">
      <c r="B59" s="11" t="s">
        <v>103</v>
      </c>
      <c r="C59" s="28" t="n">
        <v>950</v>
      </c>
      <c r="F59" s="29" t="n">
        <f aca="false">$C$59</f>
        <v>950</v>
      </c>
      <c r="G59" s="27" t="s">
        <v>46</v>
      </c>
    </row>
    <row r="60" customFormat="false" ht="15" hidden="false" customHeight="false" outlineLevel="0" collapsed="false">
      <c r="B60" s="11" t="s">
        <v>104</v>
      </c>
      <c r="C60" s="28" t="n">
        <v>180</v>
      </c>
      <c r="F60" s="29" t="n">
        <f aca="false">$C$60</f>
        <v>180</v>
      </c>
      <c r="G60" s="27" t="s">
        <v>46</v>
      </c>
    </row>
    <row r="61" customFormat="false" ht="15" hidden="false" customHeight="false" outlineLevel="0" collapsed="false">
      <c r="B61" s="11" t="s">
        <v>105</v>
      </c>
      <c r="C61" s="30" t="n">
        <v>0.105</v>
      </c>
      <c r="F61" s="31" t="n">
        <f aca="false">$C$61</f>
        <v>0.105</v>
      </c>
      <c r="G61" s="27" t="s">
        <v>49</v>
      </c>
    </row>
    <row r="62" customFormat="false" ht="15" hidden="false" customHeight="false" outlineLevel="0" collapsed="false">
      <c r="B62" s="11" t="s">
        <v>106</v>
      </c>
      <c r="C62" s="30" t="n">
        <v>0.35</v>
      </c>
      <c r="D62" s="30" t="n">
        <v>0</v>
      </c>
      <c r="E62" s="30" t="n">
        <v>0</v>
      </c>
      <c r="F62" s="31" t="n">
        <f aca="false">CHOOSE(Scenario_Toggle,$C$62,$D$62,$E$62)</f>
        <v>0.35</v>
      </c>
      <c r="G62" s="27" t="s">
        <v>49</v>
      </c>
    </row>
    <row r="63" customFormat="false" ht="15" hidden="false" customHeight="false" outlineLevel="0" collapsed="false">
      <c r="B63" s="11" t="s">
        <v>107</v>
      </c>
      <c r="C63" s="30" t="n">
        <v>0.06</v>
      </c>
      <c r="F63" s="31" t="n">
        <f aca="false">$C$63</f>
        <v>0.06</v>
      </c>
      <c r="G63" s="27" t="s">
        <v>49</v>
      </c>
    </row>
    <row r="64" customFormat="false" ht="15" hidden="false" customHeight="false" outlineLevel="0" collapsed="false">
      <c r="B64" s="23" t="s">
        <v>108</v>
      </c>
      <c r="C64" s="24"/>
      <c r="D64" s="24"/>
      <c r="E64" s="24"/>
      <c r="F64" s="24"/>
      <c r="G64" s="24"/>
    </row>
    <row r="65" customFormat="false" ht="15" hidden="false" customHeight="false" outlineLevel="0" collapsed="false">
      <c r="B65" s="11" t="s">
        <v>109</v>
      </c>
      <c r="C65" s="30" t="n">
        <v>0.24</v>
      </c>
      <c r="F65" s="31" t="n">
        <f aca="false">$C$65</f>
        <v>0.24</v>
      </c>
      <c r="G65" s="27" t="s">
        <v>49</v>
      </c>
    </row>
    <row r="66" customFormat="false" ht="15" hidden="false" customHeight="false" outlineLevel="0" collapsed="false">
      <c r="B66" s="11" t="s">
        <v>110</v>
      </c>
      <c r="C66" s="28" t="n">
        <v>0</v>
      </c>
      <c r="F66" s="29" t="n">
        <f aca="false">$C$66</f>
        <v>0</v>
      </c>
      <c r="G66" s="27" t="s">
        <v>46</v>
      </c>
    </row>
    <row r="67" customFormat="false" ht="15" hidden="false" customHeight="false" outlineLevel="0" collapsed="false">
      <c r="B67" s="23" t="s">
        <v>111</v>
      </c>
      <c r="C67" s="24"/>
      <c r="D67" s="24"/>
      <c r="E67" s="24"/>
      <c r="F67" s="24"/>
      <c r="G67" s="24"/>
    </row>
    <row r="68" customFormat="false" ht="15" hidden="false" customHeight="false" outlineLevel="0" collapsed="false">
      <c r="B68" s="11" t="s">
        <v>112</v>
      </c>
      <c r="C68" s="30" t="n">
        <v>0.85</v>
      </c>
      <c r="F68" s="31" t="n">
        <f aca="false">$C$68</f>
        <v>0.85</v>
      </c>
      <c r="G68" s="27" t="s">
        <v>49</v>
      </c>
    </row>
    <row r="69" customFormat="false" ht="15" hidden="false" customHeight="false" outlineLevel="0" collapsed="false">
      <c r="B69" s="11" t="s">
        <v>113</v>
      </c>
      <c r="C69" s="30" t="n">
        <v>0.75</v>
      </c>
      <c r="F69" s="31" t="n">
        <f aca="false">$C$69</f>
        <v>0.75</v>
      </c>
      <c r="G69" s="27" t="s">
        <v>49</v>
      </c>
    </row>
    <row r="70" customFormat="false" ht="15" hidden="false" customHeight="false" outlineLevel="0" collapsed="false">
      <c r="B70" s="11" t="s">
        <v>114</v>
      </c>
      <c r="C70" s="30" t="n">
        <v>0.35</v>
      </c>
      <c r="F70" s="31" t="n">
        <f aca="false">$C$70</f>
        <v>0.35</v>
      </c>
      <c r="G70" s="27" t="s">
        <v>49</v>
      </c>
    </row>
    <row r="71" customFormat="false" ht="15" hidden="false" customHeight="false" outlineLevel="0" collapsed="false">
      <c r="B71" s="11" t="s">
        <v>115</v>
      </c>
      <c r="C71" s="30" t="n">
        <v>0.2</v>
      </c>
      <c r="F71" s="31" t="n">
        <f aca="false">$C$71</f>
        <v>0.2</v>
      </c>
      <c r="G71" s="27" t="s">
        <v>49</v>
      </c>
    </row>
    <row r="72" customFormat="false" ht="15" hidden="false" customHeight="false" outlineLevel="0" collapsed="false">
      <c r="B72" s="11" t="s">
        <v>116</v>
      </c>
      <c r="C72" s="30" t="n">
        <v>0.1</v>
      </c>
      <c r="F72" s="31" t="n">
        <f aca="false">$C$72</f>
        <v>0.1</v>
      </c>
      <c r="G72" s="27" t="s">
        <v>49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117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118</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8" customFormat="false" ht="15" hidden="false" customHeight="false" outlineLevel="0" collapsed="false">
      <c r="B8" s="23" t="s">
        <v>121</v>
      </c>
      <c r="C8" s="24"/>
      <c r="D8" s="24"/>
      <c r="E8" s="24"/>
      <c r="F8" s="24"/>
      <c r="G8" s="24"/>
    </row>
    <row r="9" customFormat="false" ht="15" hidden="false" customHeight="false" outlineLevel="0" collapsed="false">
      <c r="B9" s="11" t="s">
        <v>122</v>
      </c>
      <c r="C9" s="29" t="n">
        <f aca="false">Open_Corp_Loans</f>
        <v>3500</v>
      </c>
      <c r="D9" s="29" t="n">
        <f aca="false">C13</f>
        <v>3662.75</v>
      </c>
      <c r="E9" s="29" t="n">
        <f aca="false">D13</f>
        <v>3827.57375</v>
      </c>
      <c r="F9" s="29" t="n">
        <f aca="false">E13</f>
        <v>3999.81456875</v>
      </c>
      <c r="G9" s="29" t="n">
        <f aca="false">F13</f>
        <v>4179.80622434375</v>
      </c>
    </row>
    <row r="10" customFormat="false" ht="15" hidden="false" customHeight="false" outlineLevel="0" collapsed="false">
      <c r="B10" s="11" t="s">
        <v>123</v>
      </c>
      <c r="C10" s="29" t="n">
        <f aca="false">C9*(Corp_Loan_Growth+0.15)</f>
        <v>700</v>
      </c>
      <c r="D10" s="29" t="n">
        <f aca="false">D9*(Corp_Loan_Growth+0.15)</f>
        <v>732.55</v>
      </c>
      <c r="E10" s="29" t="n">
        <f aca="false">E9*(Corp_Loan_Growth+0.15)</f>
        <v>765.51475</v>
      </c>
      <c r="F10" s="29" t="n">
        <f aca="false">F9*(Corp_Loan_Growth+0.15)</f>
        <v>799.96291375</v>
      </c>
      <c r="G10" s="29" t="n">
        <f aca="false">G9*(Corp_Loan_Growth+0.15)</f>
        <v>835.96124486875</v>
      </c>
    </row>
    <row r="11" customFormat="false" ht="15" hidden="false" customHeight="false" outlineLevel="0" collapsed="false">
      <c r="B11" s="11" t="s">
        <v>124</v>
      </c>
      <c r="C11" s="29" t="n">
        <f aca="false">-C9*0.15</f>
        <v>-525</v>
      </c>
      <c r="D11" s="29" t="n">
        <f aca="false">-D9*0.15</f>
        <v>-549.4125</v>
      </c>
      <c r="E11" s="29" t="n">
        <f aca="false">-E9*0.15</f>
        <v>-574.1360625</v>
      </c>
      <c r="F11" s="29" t="n">
        <f aca="false">-F9*0.15</f>
        <v>-599.9721853125</v>
      </c>
      <c r="G11" s="29" t="n">
        <f aca="false">-G9*0.15</f>
        <v>-626.970933651563</v>
      </c>
    </row>
    <row r="12" customFormat="false" ht="15" hidden="false" customHeight="false" outlineLevel="0" collapsed="false">
      <c r="B12" s="11" t="s">
        <v>125</v>
      </c>
      <c r="C12" s="29" t="n">
        <f aca="false">-C9*ECL_Corp_Base*ECL_Corp_Mult*0.7</f>
        <v>-12.25</v>
      </c>
      <c r="D12" s="29" t="n">
        <f aca="false">-D9*ECL_Corp_Base*ECL_Corp_Mult*1</f>
        <v>-18.31375</v>
      </c>
      <c r="E12" s="29" t="n">
        <f aca="false">-E9*ECL_Corp_Base*ECL_Corp_Mult*1</f>
        <v>-19.13786875</v>
      </c>
      <c r="F12" s="29" t="n">
        <f aca="false">-F9*ECL_Corp_Base*ECL_Corp_Mult*1</f>
        <v>-19.99907284375</v>
      </c>
      <c r="G12" s="29" t="n">
        <f aca="false">-G9*ECL_Corp_Base*ECL_Corp_Mult*1</f>
        <v>-20.8990311217188</v>
      </c>
    </row>
    <row r="13" customFormat="false" ht="15" hidden="false" customHeight="false" outlineLevel="0" collapsed="false">
      <c r="B13" s="11" t="s">
        <v>126</v>
      </c>
      <c r="C13" s="38" t="n">
        <f aca="false">MAX(0,C9+C10+C11+C12)</f>
        <v>3662.75</v>
      </c>
      <c r="D13" s="38" t="n">
        <f aca="false">MAX(0,D9+D10+D11+D12)</f>
        <v>3827.57375</v>
      </c>
      <c r="E13" s="38" t="n">
        <f aca="false">MAX(0,E9+E10+E11+E12)</f>
        <v>3999.81456875</v>
      </c>
      <c r="F13" s="38" t="n">
        <f aca="false">MAX(0,F9+F10+F11+F12)</f>
        <v>4179.80622434375</v>
      </c>
      <c r="G13" s="38" t="n">
        <f aca="false">MAX(0,G9+G10+G11+G12)</f>
        <v>4367.89750443922</v>
      </c>
    </row>
    <row r="14" customFormat="false" ht="15" hidden="false" customHeight="false" outlineLevel="0" collapsed="false">
      <c r="B14" s="11" t="s">
        <v>127</v>
      </c>
      <c r="C14" s="29" t="n">
        <f aca="false">(Open_Corp_Loans+C13)/2</f>
        <v>3581.375</v>
      </c>
      <c r="D14" s="29" t="n">
        <f aca="false">(C13+D13)/2</f>
        <v>3745.161875</v>
      </c>
      <c r="E14" s="29" t="n">
        <f aca="false">(D13+E13)/2</f>
        <v>3913.694159375</v>
      </c>
      <c r="F14" s="29" t="n">
        <f aca="false">(E13+F13)/2</f>
        <v>4089.81039654688</v>
      </c>
      <c r="G14" s="29" t="n">
        <f aca="false">(F13+G13)/2</f>
        <v>4273.85186439149</v>
      </c>
    </row>
    <row r="15" customFormat="false" ht="15" hidden="false" customHeight="false" outlineLevel="0" collapsed="false">
      <c r="B15" s="11" t="s">
        <v>128</v>
      </c>
      <c r="C15" s="31" t="n">
        <f aca="false">ECL_Corp_Base*ECL_Corp_Mult</f>
        <v>0.005</v>
      </c>
      <c r="D15" s="31" t="n">
        <f aca="false">ECL_Corp_Base*ECL_Corp_Mult</f>
        <v>0.005</v>
      </c>
      <c r="E15" s="31" t="n">
        <f aca="false">ECL_Corp_Base*ECL_Corp_Mult</f>
        <v>0.005</v>
      </c>
      <c r="F15" s="31" t="n">
        <f aca="false">ECL_Corp_Base*ECL_Corp_Mult</f>
        <v>0.005</v>
      </c>
      <c r="G15" s="31" t="n">
        <f aca="false">ECL_Corp_Base*ECL_Corp_Mult</f>
        <v>0.005</v>
      </c>
    </row>
    <row r="16" customFormat="false" ht="15" hidden="false" customHeight="false" outlineLevel="0" collapsed="false">
      <c r="B16" s="11" t="s">
        <v>129</v>
      </c>
      <c r="C16" s="29" t="n">
        <f aca="false">-C14*C15</f>
        <v>-17.906875</v>
      </c>
      <c r="D16" s="29" t="n">
        <f aca="false">-D14*D15</f>
        <v>-18.725809375</v>
      </c>
      <c r="E16" s="29" t="n">
        <f aca="false">-E14*E15</f>
        <v>-19.568470796875</v>
      </c>
      <c r="F16" s="29" t="n">
        <f aca="false">-F14*F15</f>
        <v>-20.4490519827344</v>
      </c>
      <c r="G16" s="29" t="n">
        <f aca="false">-G14*G15</f>
        <v>-21.3692593219574</v>
      </c>
    </row>
    <row r="17" customFormat="false" ht="15" hidden="false" customHeight="false" outlineLevel="0" collapsed="false">
      <c r="B17" s="11" t="s">
        <v>130</v>
      </c>
      <c r="C17" s="29" t="n">
        <f aca="false">Open_Corp_Loans*ECL_Corp_Base*0.5</f>
        <v>8.75</v>
      </c>
      <c r="D17" s="29" t="n">
        <f aca="false">C18</f>
        <v>14.406875</v>
      </c>
      <c r="E17" s="29" t="n">
        <f aca="false">D18</f>
        <v>14.818934375</v>
      </c>
      <c r="F17" s="29" t="n">
        <f aca="false">E18</f>
        <v>15.249536421875</v>
      </c>
      <c r="G17" s="29" t="n">
        <f aca="false">F18</f>
        <v>15.6995155608594</v>
      </c>
    </row>
    <row r="18" customFormat="false" ht="15" hidden="false" customHeight="false" outlineLevel="0" collapsed="false">
      <c r="B18" s="11" t="s">
        <v>131</v>
      </c>
      <c r="C18" s="38" t="n">
        <f aca="false">C17-C16+C12</f>
        <v>14.406875</v>
      </c>
      <c r="D18" s="38" t="n">
        <f aca="false">D17-D16+D12</f>
        <v>14.818934375</v>
      </c>
      <c r="E18" s="38" t="n">
        <f aca="false">E17-E16+E12</f>
        <v>15.249536421875</v>
      </c>
      <c r="F18" s="38" t="n">
        <f aca="false">F17-F16+F12</f>
        <v>15.6995155608594</v>
      </c>
      <c r="G18" s="38" t="n">
        <f aca="false">G17-G16+G12</f>
        <v>16.1697437610981</v>
      </c>
    </row>
    <row r="19" customFormat="false" ht="15" hidden="false" customHeight="false" outlineLevel="0" collapsed="false">
      <c r="B19" s="23" t="s">
        <v>132</v>
      </c>
      <c r="C19" s="24"/>
      <c r="D19" s="24"/>
      <c r="E19" s="24"/>
      <c r="F19" s="24"/>
      <c r="G19" s="24"/>
    </row>
    <row r="20" customFormat="false" ht="15" hidden="false" customHeight="false" outlineLevel="0" collapsed="false">
      <c r="B20" s="11" t="s">
        <v>133</v>
      </c>
      <c r="C20" s="29" t="n">
        <f aca="false">Open_Retail_Loans</f>
        <v>2000</v>
      </c>
      <c r="D20" s="29" t="n">
        <f aca="false">C24</f>
        <v>2139</v>
      </c>
      <c r="E20" s="29" t="n">
        <f aca="false">D24</f>
        <v>2278.035</v>
      </c>
      <c r="F20" s="29" t="n">
        <f aca="false">E24</f>
        <v>2426.107275</v>
      </c>
      <c r="G20" s="29" t="n">
        <f aca="false">F24</f>
        <v>2583.804247875</v>
      </c>
    </row>
    <row r="21" customFormat="false" ht="15" hidden="false" customHeight="false" outlineLevel="0" collapsed="false">
      <c r="B21" s="11" t="s">
        <v>134</v>
      </c>
      <c r="C21" s="29" t="n">
        <f aca="false">C20*(Retail_Loan_Growth+0.25)</f>
        <v>660</v>
      </c>
      <c r="D21" s="29" t="n">
        <f aca="false">D20*(Retail_Loan_Growth+0.25)</f>
        <v>705.87</v>
      </c>
      <c r="E21" s="29" t="n">
        <f aca="false">E20*(Retail_Loan_Growth+0.25)</f>
        <v>751.75155</v>
      </c>
      <c r="F21" s="29" t="n">
        <f aca="false">F20*(Retail_Loan_Growth+0.25)</f>
        <v>800.61540075</v>
      </c>
      <c r="G21" s="29" t="n">
        <f aca="false">G20*(Retail_Loan_Growth+0.25)</f>
        <v>852.65540179875</v>
      </c>
    </row>
    <row r="22" customFormat="false" ht="15" hidden="false" customHeight="false" outlineLevel="0" collapsed="false">
      <c r="B22" s="11" t="s">
        <v>135</v>
      </c>
      <c r="C22" s="29" t="n">
        <f aca="false">-C20*0.25</f>
        <v>-500</v>
      </c>
      <c r="D22" s="29" t="n">
        <f aca="false">-D20*0.25</f>
        <v>-534.75</v>
      </c>
      <c r="E22" s="29" t="n">
        <f aca="false">-E20*0.25</f>
        <v>-569.50875</v>
      </c>
      <c r="F22" s="29" t="n">
        <f aca="false">-F20*0.25</f>
        <v>-606.52681875</v>
      </c>
      <c r="G22" s="29" t="n">
        <f aca="false">-G20*0.25</f>
        <v>-645.95106196875</v>
      </c>
    </row>
    <row r="23" customFormat="false" ht="15" hidden="false" customHeight="false" outlineLevel="0" collapsed="false">
      <c r="B23" s="11" t="s">
        <v>136</v>
      </c>
      <c r="C23" s="29" t="n">
        <f aca="false">-C20*ECL_Retail_Base*ECL_Retail_Mult*0.7</f>
        <v>-21</v>
      </c>
      <c r="D23" s="29" t="n">
        <f aca="false">-D20*ECL_Retail_Base*ECL_Retail_Mult*1</f>
        <v>-32.085</v>
      </c>
      <c r="E23" s="29" t="n">
        <f aca="false">-E20*ECL_Retail_Base*ECL_Retail_Mult*1</f>
        <v>-34.170525</v>
      </c>
      <c r="F23" s="29" t="n">
        <f aca="false">-F20*ECL_Retail_Base*ECL_Retail_Mult*1</f>
        <v>-36.391609125</v>
      </c>
      <c r="G23" s="29" t="n">
        <f aca="false">-G20*ECL_Retail_Base*ECL_Retail_Mult*1</f>
        <v>-38.757063718125</v>
      </c>
    </row>
    <row r="24" customFormat="false" ht="15" hidden="false" customHeight="false" outlineLevel="0" collapsed="false">
      <c r="B24" s="11" t="s">
        <v>137</v>
      </c>
      <c r="C24" s="38" t="n">
        <f aca="false">MAX(0,C20+C21+C22+C23)</f>
        <v>2139</v>
      </c>
      <c r="D24" s="38" t="n">
        <f aca="false">MAX(0,D20+D21+D22+D23)</f>
        <v>2278.035</v>
      </c>
      <c r="E24" s="38" t="n">
        <f aca="false">MAX(0,E20+E21+E22+E23)</f>
        <v>2426.107275</v>
      </c>
      <c r="F24" s="38" t="n">
        <f aca="false">MAX(0,F20+F21+F22+F23)</f>
        <v>2583.804247875</v>
      </c>
      <c r="G24" s="38" t="n">
        <f aca="false">MAX(0,G20+G21+G22+G23)</f>
        <v>2751.75152398688</v>
      </c>
    </row>
    <row r="25" customFormat="false" ht="15" hidden="false" customHeight="false" outlineLevel="0" collapsed="false">
      <c r="B25" s="11" t="s">
        <v>138</v>
      </c>
      <c r="C25" s="29" t="n">
        <f aca="false">(Open_Retail_Loans+C24)/2</f>
        <v>2069.5</v>
      </c>
      <c r="D25" s="29" t="n">
        <f aca="false">(C24+D24)/2</f>
        <v>2208.5175</v>
      </c>
      <c r="E25" s="29" t="n">
        <f aca="false">(D24+E24)/2</f>
        <v>2352.0711375</v>
      </c>
      <c r="F25" s="29" t="n">
        <f aca="false">(E24+F24)/2</f>
        <v>2504.9557614375</v>
      </c>
      <c r="G25" s="29" t="n">
        <f aca="false">(F24+G24)/2</f>
        <v>2667.77788593094</v>
      </c>
    </row>
    <row r="26" customFormat="false" ht="15" hidden="false" customHeight="false" outlineLevel="0" collapsed="false">
      <c r="B26" s="11" t="s">
        <v>139</v>
      </c>
      <c r="C26" s="31" t="n">
        <f aca="false">ECL_Retail_Base*ECL_Retail_Mult</f>
        <v>0.015</v>
      </c>
      <c r="D26" s="31" t="n">
        <f aca="false">ECL_Retail_Base*ECL_Retail_Mult</f>
        <v>0.015</v>
      </c>
      <c r="E26" s="31" t="n">
        <f aca="false">ECL_Retail_Base*ECL_Retail_Mult</f>
        <v>0.015</v>
      </c>
      <c r="F26" s="31" t="n">
        <f aca="false">ECL_Retail_Base*ECL_Retail_Mult</f>
        <v>0.015</v>
      </c>
      <c r="G26" s="31" t="n">
        <f aca="false">ECL_Retail_Base*ECL_Retail_Mult</f>
        <v>0.015</v>
      </c>
    </row>
    <row r="27" customFormat="false" ht="15" hidden="false" customHeight="false" outlineLevel="0" collapsed="false">
      <c r="B27" s="11" t="s">
        <v>140</v>
      </c>
      <c r="C27" s="29" t="n">
        <f aca="false">-C25*C26</f>
        <v>-31.0425</v>
      </c>
      <c r="D27" s="29" t="n">
        <f aca="false">-D25*D26</f>
        <v>-33.1277625</v>
      </c>
      <c r="E27" s="29" t="n">
        <f aca="false">-E25*E26</f>
        <v>-35.2810670625</v>
      </c>
      <c r="F27" s="29" t="n">
        <f aca="false">-F25*F26</f>
        <v>-37.5743364215625</v>
      </c>
      <c r="G27" s="29" t="n">
        <f aca="false">-G25*G26</f>
        <v>-40.0166682889641</v>
      </c>
    </row>
    <row r="28" customFormat="false" ht="15" hidden="false" customHeight="false" outlineLevel="0" collapsed="false">
      <c r="B28" s="11" t="s">
        <v>141</v>
      </c>
      <c r="C28" s="29" t="n">
        <f aca="false">Open_Retail_Loans*ECL_Retail_Base*0.5</f>
        <v>15</v>
      </c>
      <c r="D28" s="29" t="n">
        <f aca="false">C29</f>
        <v>25.0425</v>
      </c>
      <c r="E28" s="29" t="n">
        <f aca="false">D29</f>
        <v>26.0852625</v>
      </c>
      <c r="F28" s="29" t="n">
        <f aca="false">E29</f>
        <v>27.1958045625</v>
      </c>
      <c r="G28" s="29" t="n">
        <f aca="false">F29</f>
        <v>28.3785318590625</v>
      </c>
    </row>
    <row r="29" customFormat="false" ht="15" hidden="false" customHeight="false" outlineLevel="0" collapsed="false">
      <c r="B29" s="11" t="s">
        <v>142</v>
      </c>
      <c r="C29" s="38" t="n">
        <f aca="false">C28-C27+C23</f>
        <v>25.0425</v>
      </c>
      <c r="D29" s="38" t="n">
        <f aca="false">D28-D27+D23</f>
        <v>26.0852625</v>
      </c>
      <c r="E29" s="38" t="n">
        <f aca="false">E28-E27+E23</f>
        <v>27.1958045625</v>
      </c>
      <c r="F29" s="38" t="n">
        <f aca="false">F28-F27+F23</f>
        <v>28.3785318590625</v>
      </c>
      <c r="G29" s="38" t="n">
        <f aca="false">G28-G27+G23</f>
        <v>29.6381364299016</v>
      </c>
    </row>
    <row r="30" customFormat="false" ht="15" hidden="false" customHeight="false" outlineLevel="0" collapsed="false">
      <c r="B30" s="23" t="s">
        <v>143</v>
      </c>
      <c r="C30" s="24"/>
      <c r="D30" s="24"/>
      <c r="E30" s="24"/>
      <c r="F30" s="24"/>
      <c r="G30" s="24"/>
    </row>
    <row r="31" customFormat="false" ht="15" hidden="false" customHeight="false" outlineLevel="0" collapsed="false">
      <c r="B31" s="11" t="s">
        <v>144</v>
      </c>
      <c r="C31" s="29" t="n">
        <f aca="false">Open_Mort_Loans</f>
        <v>2500</v>
      </c>
      <c r="D31" s="29" t="n">
        <f aca="false">C35</f>
        <v>2596.5</v>
      </c>
      <c r="E31" s="29" t="n">
        <f aca="false">D35</f>
        <v>2695.167</v>
      </c>
      <c r="F31" s="29" t="n">
        <f aca="false">E35</f>
        <v>2797.583346</v>
      </c>
      <c r="G31" s="29" t="n">
        <f aca="false">F35</f>
        <v>2903.891513148</v>
      </c>
    </row>
    <row r="32" customFormat="false" ht="15" hidden="false" customHeight="false" outlineLevel="0" collapsed="false">
      <c r="B32" s="11" t="s">
        <v>145</v>
      </c>
      <c r="C32" s="29" t="n">
        <f aca="false">C31*(Mort_Loan_Growth+0.06)</f>
        <v>250</v>
      </c>
      <c r="D32" s="29" t="n">
        <f aca="false">D31*(Mort_Loan_Growth+0.06)</f>
        <v>259.65</v>
      </c>
      <c r="E32" s="29" t="n">
        <f aca="false">E31*(Mort_Loan_Growth+0.06)</f>
        <v>269.5167</v>
      </c>
      <c r="F32" s="29" t="n">
        <f aca="false">F31*(Mort_Loan_Growth+0.06)</f>
        <v>279.7583346</v>
      </c>
      <c r="G32" s="29" t="n">
        <f aca="false">G31*(Mort_Loan_Growth+0.06)</f>
        <v>290.3891513148</v>
      </c>
    </row>
    <row r="33" customFormat="false" ht="15" hidden="false" customHeight="false" outlineLevel="0" collapsed="false">
      <c r="B33" s="11" t="s">
        <v>146</v>
      </c>
      <c r="C33" s="29" t="n">
        <f aca="false">-C31*0.06</f>
        <v>-150</v>
      </c>
      <c r="D33" s="29" t="n">
        <f aca="false">-D31*0.06</f>
        <v>-155.79</v>
      </c>
      <c r="E33" s="29" t="n">
        <f aca="false">-E31*0.06</f>
        <v>-161.71002</v>
      </c>
      <c r="F33" s="29" t="n">
        <f aca="false">-F31*0.06</f>
        <v>-167.85500076</v>
      </c>
      <c r="G33" s="29" t="n">
        <f aca="false">-G31*0.06</f>
        <v>-174.23349078888</v>
      </c>
    </row>
    <row r="34" customFormat="false" ht="15" hidden="false" customHeight="false" outlineLevel="0" collapsed="false">
      <c r="B34" s="11" t="s">
        <v>147</v>
      </c>
      <c r="C34" s="29" t="n">
        <f aca="false">-C31*ECL_Mort_Base*ECL_Mort_Mult*0.7</f>
        <v>-3.5</v>
      </c>
      <c r="D34" s="29" t="n">
        <f aca="false">-D31*ECL_Mort_Base*ECL_Mort_Mult*1</f>
        <v>-5.193</v>
      </c>
      <c r="E34" s="29" t="n">
        <f aca="false">-E31*ECL_Mort_Base*ECL_Mort_Mult*1</f>
        <v>-5.390334</v>
      </c>
      <c r="F34" s="29" t="n">
        <f aca="false">-F31*ECL_Mort_Base*ECL_Mort_Mult*1</f>
        <v>-5.595166692</v>
      </c>
      <c r="G34" s="29" t="n">
        <f aca="false">-G31*ECL_Mort_Base*ECL_Mort_Mult*1</f>
        <v>-5.807783026296</v>
      </c>
    </row>
    <row r="35" customFormat="false" ht="15" hidden="false" customHeight="false" outlineLevel="0" collapsed="false">
      <c r="B35" s="11" t="s">
        <v>148</v>
      </c>
      <c r="C35" s="38" t="n">
        <f aca="false">MAX(0,C31+C32+C33+C34)</f>
        <v>2596.5</v>
      </c>
      <c r="D35" s="38" t="n">
        <f aca="false">MAX(0,D31+D32+D33+D34)</f>
        <v>2695.167</v>
      </c>
      <c r="E35" s="38" t="n">
        <f aca="false">MAX(0,E31+E32+E33+E34)</f>
        <v>2797.583346</v>
      </c>
      <c r="F35" s="38" t="n">
        <f aca="false">MAX(0,F31+F32+F33+F34)</f>
        <v>2903.891513148</v>
      </c>
      <c r="G35" s="38" t="n">
        <f aca="false">MAX(0,G31+G32+G33+G34)</f>
        <v>3014.23939064762</v>
      </c>
    </row>
    <row r="36" customFormat="false" ht="15" hidden="false" customHeight="false" outlineLevel="0" collapsed="false">
      <c r="B36" s="11" t="s">
        <v>149</v>
      </c>
      <c r="C36" s="29" t="n">
        <f aca="false">(Open_Mort_Loans+C35)/2</f>
        <v>2548.25</v>
      </c>
      <c r="D36" s="29" t="n">
        <f aca="false">(C35+D35)/2</f>
        <v>2645.8335</v>
      </c>
      <c r="E36" s="29" t="n">
        <f aca="false">(D35+E35)/2</f>
        <v>2746.375173</v>
      </c>
      <c r="F36" s="29" t="n">
        <f aca="false">(E35+F35)/2</f>
        <v>2850.737429574</v>
      </c>
      <c r="G36" s="29" t="n">
        <f aca="false">(F35+G35)/2</f>
        <v>2959.06545189781</v>
      </c>
    </row>
    <row r="37" customFormat="false" ht="15" hidden="false" customHeight="false" outlineLevel="0" collapsed="false">
      <c r="B37" s="11" t="s">
        <v>150</v>
      </c>
      <c r="C37" s="31" t="n">
        <f aca="false">ECL_Mort_Base*ECL_Mort_Mult</f>
        <v>0.002</v>
      </c>
      <c r="D37" s="31" t="n">
        <f aca="false">ECL_Mort_Base*ECL_Mort_Mult</f>
        <v>0.002</v>
      </c>
      <c r="E37" s="31" t="n">
        <f aca="false">ECL_Mort_Base*ECL_Mort_Mult</f>
        <v>0.002</v>
      </c>
      <c r="F37" s="31" t="n">
        <f aca="false">ECL_Mort_Base*ECL_Mort_Mult</f>
        <v>0.002</v>
      </c>
      <c r="G37" s="31" t="n">
        <f aca="false">ECL_Mort_Base*ECL_Mort_Mult</f>
        <v>0.002</v>
      </c>
    </row>
    <row r="38" customFormat="false" ht="15" hidden="false" customHeight="false" outlineLevel="0" collapsed="false">
      <c r="B38" s="11" t="s">
        <v>151</v>
      </c>
      <c r="C38" s="29" t="n">
        <f aca="false">-C36*C37</f>
        <v>-5.0965</v>
      </c>
      <c r="D38" s="29" t="n">
        <f aca="false">-D36*D37</f>
        <v>-5.291667</v>
      </c>
      <c r="E38" s="29" t="n">
        <f aca="false">-E36*E37</f>
        <v>-5.492750346</v>
      </c>
      <c r="F38" s="29" t="n">
        <f aca="false">-F36*F37</f>
        <v>-5.701474859148</v>
      </c>
      <c r="G38" s="29" t="n">
        <f aca="false">-G36*G37</f>
        <v>-5.91813090379562</v>
      </c>
    </row>
    <row r="39" customFormat="false" ht="15" hidden="false" customHeight="false" outlineLevel="0" collapsed="false">
      <c r="B39" s="11" t="s">
        <v>152</v>
      </c>
      <c r="C39" s="29" t="n">
        <f aca="false">Open_Mort_Loans*ECL_Mort_Base*0.5</f>
        <v>2.5</v>
      </c>
      <c r="D39" s="29" t="n">
        <f aca="false">C40</f>
        <v>4.0965</v>
      </c>
      <c r="E39" s="29" t="n">
        <f aca="false">D40</f>
        <v>4.195167</v>
      </c>
      <c r="F39" s="29" t="n">
        <f aca="false">E40</f>
        <v>4.297583346</v>
      </c>
      <c r="G39" s="29" t="n">
        <f aca="false">F40</f>
        <v>4.403891513148</v>
      </c>
    </row>
    <row r="40" customFormat="false" ht="15" hidden="false" customHeight="false" outlineLevel="0" collapsed="false">
      <c r="B40" s="11" t="s">
        <v>153</v>
      </c>
      <c r="C40" s="38" t="n">
        <f aca="false">C39-C38+C34</f>
        <v>4.0965</v>
      </c>
      <c r="D40" s="38" t="n">
        <f aca="false">D39-D38+D34</f>
        <v>4.195167</v>
      </c>
      <c r="E40" s="38" t="n">
        <f aca="false">E39-E38+E34</f>
        <v>4.297583346</v>
      </c>
      <c r="F40" s="38" t="n">
        <f aca="false">F39-F38+F34</f>
        <v>4.403891513148</v>
      </c>
      <c r="G40" s="38" t="n">
        <f aca="false">G39-G38+G34</f>
        <v>4.51423939064762</v>
      </c>
    </row>
    <row r="41" customFormat="false" ht="15" hidden="false" customHeight="false" outlineLevel="0" collapsed="false">
      <c r="B41" s="23" t="s">
        <v>154</v>
      </c>
      <c r="C41" s="24"/>
      <c r="D41" s="24"/>
      <c r="E41" s="24"/>
      <c r="F41" s="24"/>
      <c r="G41" s="24"/>
    </row>
    <row r="42" customFormat="false" ht="15" hidden="false" customHeight="false" outlineLevel="0" collapsed="false">
      <c r="B42" s="11" t="s">
        <v>155</v>
      </c>
      <c r="C42" s="39" t="n">
        <f aca="false">C13+C24+C35</f>
        <v>8398.25</v>
      </c>
      <c r="D42" s="39" t="n">
        <f aca="false">D13+D24+D35</f>
        <v>8800.77575</v>
      </c>
      <c r="E42" s="39" t="n">
        <f aca="false">E13+E24+E35</f>
        <v>9223.50518975</v>
      </c>
      <c r="F42" s="39" t="n">
        <f aca="false">F13+F24+F35</f>
        <v>9667.50198536675</v>
      </c>
      <c r="G42" s="39" t="n">
        <f aca="false">G13+G24+G35</f>
        <v>10133.8884190737</v>
      </c>
    </row>
    <row r="43" customFormat="false" ht="15" hidden="false" customHeight="false" outlineLevel="0" collapsed="false">
      <c r="B43" s="11" t="s">
        <v>156</v>
      </c>
      <c r="C43" s="38" t="n">
        <f aca="false">C16+C27+C38</f>
        <v>-54.045875</v>
      </c>
      <c r="D43" s="38" t="n">
        <f aca="false">D16+D27+D38</f>
        <v>-57.145238875</v>
      </c>
      <c r="E43" s="38" t="n">
        <f aca="false">E16+E27+E38</f>
        <v>-60.342288205375</v>
      </c>
      <c r="F43" s="38" t="n">
        <f aca="false">F16+F27+F38</f>
        <v>-63.7248632634449</v>
      </c>
      <c r="G43" s="38" t="n">
        <f aca="false">G16+G27+G38</f>
        <v>-67.3040585147171</v>
      </c>
    </row>
    <row r="44" customFormat="false" ht="15" hidden="false" customHeight="false" outlineLevel="0" collapsed="false">
      <c r="B44" s="11" t="s">
        <v>157</v>
      </c>
      <c r="C44" s="38" t="n">
        <f aca="false">C18+C29+C40</f>
        <v>43.545875</v>
      </c>
      <c r="D44" s="38" t="n">
        <f aca="false">D18+D29+D40</f>
        <v>45.099363875</v>
      </c>
      <c r="E44" s="38" t="n">
        <f aca="false">E18+E29+E40</f>
        <v>46.742924330375</v>
      </c>
      <c r="F44" s="38" t="n">
        <f aca="false">F18+F29+F40</f>
        <v>48.4819389330699</v>
      </c>
      <c r="G44" s="38" t="n">
        <f aca="false">G18+G29+G40</f>
        <v>50.3221195816472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158</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159</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8" customFormat="false" ht="15" hidden="false" customHeight="false" outlineLevel="0" collapsed="false">
      <c r="B8" s="23" t="s">
        <v>160</v>
      </c>
      <c r="C8" s="24"/>
      <c r="D8" s="24"/>
      <c r="E8" s="24"/>
      <c r="F8" s="24"/>
      <c r="G8" s="24"/>
    </row>
    <row r="9" customFormat="false" ht="15" hidden="false" customHeight="false" outlineLevel="0" collapsed="false">
      <c r="B9" s="11" t="s">
        <v>161</v>
      </c>
      <c r="C9" s="29" t="n">
        <f aca="false">Open_Deposits</f>
        <v>6500</v>
      </c>
      <c r="D9" s="29" t="n">
        <f aca="false">C12</f>
        <v>6760</v>
      </c>
      <c r="E9" s="29" t="n">
        <f aca="false">D12</f>
        <v>7030.4</v>
      </c>
      <c r="F9" s="29" t="n">
        <f aca="false">E12</f>
        <v>7311.616</v>
      </c>
      <c r="G9" s="29" t="n">
        <f aca="false">F12</f>
        <v>7604.08064</v>
      </c>
    </row>
    <row r="10" customFormat="false" ht="15" hidden="false" customHeight="false" outlineLevel="0" collapsed="false">
      <c r="B10" s="11" t="s">
        <v>162</v>
      </c>
      <c r="C10" s="29" t="n">
        <f aca="false">C9*Deposit_Growth</f>
        <v>260</v>
      </c>
      <c r="D10" s="29" t="n">
        <f aca="false">D9*Deposit_Growth</f>
        <v>270.4</v>
      </c>
      <c r="E10" s="29" t="n">
        <f aca="false">E9*Deposit_Growth</f>
        <v>281.216</v>
      </c>
      <c r="F10" s="29" t="n">
        <f aca="false">F9*Deposit_Growth</f>
        <v>292.46464</v>
      </c>
      <c r="G10" s="29" t="n">
        <f aca="false">G9*Deposit_Growth</f>
        <v>304.1632256</v>
      </c>
    </row>
    <row r="11" customFormat="false" ht="15" hidden="false" customHeight="false" outlineLevel="0" collapsed="false">
      <c r="B11" s="11" t="s">
        <v>163</v>
      </c>
      <c r="C11" s="29" t="n">
        <f aca="false">0</f>
        <v>0</v>
      </c>
      <c r="D11" s="29" t="n">
        <f aca="false">0</f>
        <v>0</v>
      </c>
      <c r="E11" s="29" t="n">
        <f aca="false">0</f>
        <v>0</v>
      </c>
      <c r="F11" s="29" t="n">
        <f aca="false">0</f>
        <v>0</v>
      </c>
      <c r="G11" s="29" t="n">
        <f aca="false">0</f>
        <v>0</v>
      </c>
    </row>
    <row r="12" customFormat="false" ht="15" hidden="false" customHeight="false" outlineLevel="0" collapsed="false">
      <c r="B12" s="11" t="s">
        <v>164</v>
      </c>
      <c r="C12" s="38" t="n">
        <f aca="false">C9+C10+C11</f>
        <v>6760</v>
      </c>
      <c r="D12" s="38" t="n">
        <f aca="false">D9+D10+D11</f>
        <v>7030.4</v>
      </c>
      <c r="E12" s="38" t="n">
        <f aca="false">E9+E10+E11</f>
        <v>7311.616</v>
      </c>
      <c r="F12" s="38" t="n">
        <f aca="false">F9+F10+F11</f>
        <v>7604.08064</v>
      </c>
      <c r="G12" s="38" t="n">
        <f aca="false">G9+G10+G11</f>
        <v>7908.2438656</v>
      </c>
    </row>
    <row r="13" customFormat="false" ht="15" hidden="false" customHeight="false" outlineLevel="0" collapsed="false">
      <c r="B13" s="11" t="s">
        <v>165</v>
      </c>
      <c r="C13" s="29" t="n">
        <f aca="false">(Open_Deposits+C12)/2</f>
        <v>6630</v>
      </c>
      <c r="D13" s="29" t="n">
        <f aca="false">(C12+D12)/2</f>
        <v>6895.2</v>
      </c>
      <c r="E13" s="29" t="n">
        <f aca="false">(D12+E12)/2</f>
        <v>7171.008</v>
      </c>
      <c r="F13" s="29" t="n">
        <f aca="false">(E12+F12)/2</f>
        <v>7457.84832</v>
      </c>
      <c r="G13" s="29" t="n">
        <f aca="false">(F12+G12)/2</f>
        <v>7756.1622528</v>
      </c>
    </row>
    <row r="14" customFormat="false" ht="15" hidden="false" customHeight="false" outlineLevel="0" collapsed="false">
      <c r="B14" s="11" t="s">
        <v>166</v>
      </c>
      <c r="C14" s="29" t="n">
        <f aca="false">-C13*Deposit_Cost</f>
        <v>-165.75</v>
      </c>
      <c r="D14" s="29" t="n">
        <f aca="false">-D13*Deposit_Cost</f>
        <v>-172.38</v>
      </c>
      <c r="E14" s="29" t="n">
        <f aca="false">-E13*Deposit_Cost</f>
        <v>-179.2752</v>
      </c>
      <c r="F14" s="29" t="n">
        <f aca="false">-F13*Deposit_Cost</f>
        <v>-186.446208</v>
      </c>
      <c r="G14" s="29" t="n">
        <f aca="false">-G13*Deposit_Cost</f>
        <v>-193.90405632</v>
      </c>
    </row>
    <row r="15" customFormat="false" ht="15" hidden="false" customHeight="false" outlineLevel="0" collapsed="false">
      <c r="B15" s="23" t="s">
        <v>167</v>
      </c>
      <c r="C15" s="24"/>
      <c r="D15" s="24"/>
      <c r="E15" s="24"/>
      <c r="F15" s="24"/>
      <c r="G15" s="24"/>
    </row>
    <row r="16" customFormat="false" ht="15" hidden="false" customHeight="false" outlineLevel="0" collapsed="false">
      <c r="B16" s="11" t="s">
        <v>168</v>
      </c>
      <c r="C16" s="29" t="n">
        <f aca="false">Open_Wholesale</f>
        <v>2000</v>
      </c>
      <c r="D16" s="29" t="n">
        <f aca="false">C18</f>
        <v>2000</v>
      </c>
      <c r="E16" s="29" t="n">
        <f aca="false">D18</f>
        <v>2000</v>
      </c>
      <c r="F16" s="29" t="n">
        <f aca="false">E18</f>
        <v>2000</v>
      </c>
      <c r="G16" s="29" t="n">
        <f aca="false">F18</f>
        <v>2000</v>
      </c>
    </row>
    <row r="17" customFormat="false" ht="15" hidden="false" customHeight="false" outlineLevel="0" collapsed="false">
      <c r="B17" s="11" t="s">
        <v>169</v>
      </c>
      <c r="C17" s="29" t="n">
        <f aca="false">0</f>
        <v>0</v>
      </c>
      <c r="D17" s="29" t="n">
        <f aca="false">0</f>
        <v>0</v>
      </c>
      <c r="E17" s="29" t="n">
        <f aca="false">0</f>
        <v>0</v>
      </c>
      <c r="F17" s="29" t="n">
        <f aca="false">0</f>
        <v>0</v>
      </c>
      <c r="G17" s="29" t="n">
        <f aca="false">0</f>
        <v>0</v>
      </c>
    </row>
    <row r="18" customFormat="false" ht="15" hidden="false" customHeight="false" outlineLevel="0" collapsed="false">
      <c r="B18" s="11" t="s">
        <v>170</v>
      </c>
      <c r="C18" s="38" t="n">
        <f aca="false">C16+C17</f>
        <v>2000</v>
      </c>
      <c r="D18" s="38" t="n">
        <f aca="false">D16+D17</f>
        <v>2000</v>
      </c>
      <c r="E18" s="38" t="n">
        <f aca="false">E16+E17</f>
        <v>2000</v>
      </c>
      <c r="F18" s="38" t="n">
        <f aca="false">F16+F17</f>
        <v>2000</v>
      </c>
      <c r="G18" s="38" t="n">
        <f aca="false">G16+G17</f>
        <v>2000</v>
      </c>
    </row>
    <row r="19" customFormat="false" ht="15" hidden="false" customHeight="false" outlineLevel="0" collapsed="false">
      <c r="B19" s="11" t="s">
        <v>171</v>
      </c>
      <c r="C19" s="29" t="n">
        <f aca="false">(Open_Wholesale+C18)/2</f>
        <v>2000</v>
      </c>
      <c r="D19" s="29" t="n">
        <f aca="false">(C18+D18)/2</f>
        <v>2000</v>
      </c>
      <c r="E19" s="29" t="n">
        <f aca="false">(D18+E18)/2</f>
        <v>2000</v>
      </c>
      <c r="F19" s="29" t="n">
        <f aca="false">(E18+F18)/2</f>
        <v>2000</v>
      </c>
      <c r="G19" s="29" t="n">
        <f aca="false">(F18+G18)/2</f>
        <v>2000</v>
      </c>
    </row>
    <row r="20" customFormat="false" ht="15" hidden="false" customHeight="false" outlineLevel="0" collapsed="false">
      <c r="B20" s="11" t="s">
        <v>172</v>
      </c>
      <c r="C20" s="31" t="n">
        <f aca="false">Base_Rate+Wholesale_Spread</f>
        <v>0.055</v>
      </c>
      <c r="D20" s="31" t="n">
        <f aca="false">Base_Rate+Wholesale_Spread</f>
        <v>0.055</v>
      </c>
      <c r="E20" s="31" t="n">
        <f aca="false">Base_Rate+Wholesale_Spread</f>
        <v>0.055</v>
      </c>
      <c r="F20" s="31" t="n">
        <f aca="false">Base_Rate+Wholesale_Spread</f>
        <v>0.055</v>
      </c>
      <c r="G20" s="31" t="n">
        <f aca="false">Base_Rate+Wholesale_Spread</f>
        <v>0.055</v>
      </c>
    </row>
    <row r="21" customFormat="false" ht="15" hidden="false" customHeight="false" outlineLevel="0" collapsed="false">
      <c r="B21" s="11" t="s">
        <v>173</v>
      </c>
      <c r="C21" s="29" t="n">
        <f aca="false">-C19*C20</f>
        <v>-110</v>
      </c>
      <c r="D21" s="29" t="n">
        <f aca="false">-D19*D20</f>
        <v>-110</v>
      </c>
      <c r="E21" s="29" t="n">
        <f aca="false">-E19*E20</f>
        <v>-110</v>
      </c>
      <c r="F21" s="29" t="n">
        <f aca="false">-F19*F20</f>
        <v>-110</v>
      </c>
      <c r="G21" s="29" t="n">
        <f aca="false">-G19*G20</f>
        <v>-110</v>
      </c>
    </row>
    <row r="23" customFormat="false" ht="15" hidden="false" customHeight="false" outlineLevel="0" collapsed="false">
      <c r="B23" s="11" t="s">
        <v>174</v>
      </c>
      <c r="C23" s="39" t="n">
        <f aca="false">C14+C21</f>
        <v>-275.75</v>
      </c>
      <c r="D23" s="39" t="n">
        <f aca="false">D14+D21</f>
        <v>-282.38</v>
      </c>
      <c r="E23" s="39" t="n">
        <f aca="false">E14+E21</f>
        <v>-289.2752</v>
      </c>
      <c r="F23" s="39" t="n">
        <f aca="false">F14+F21</f>
        <v>-296.446208</v>
      </c>
      <c r="G23" s="39" t="n">
        <f aca="false">G14+G21</f>
        <v>-303.90405632</v>
      </c>
    </row>
    <row r="24" customFormat="false" ht="15" hidden="false" customHeight="false" outlineLevel="0" collapsed="false">
      <c r="B24" s="11" t="s">
        <v>175</v>
      </c>
      <c r="C24" s="38" t="n">
        <f aca="false">C12+C18</f>
        <v>8760</v>
      </c>
      <c r="D24" s="38" t="n">
        <f aca="false">D12+D18</f>
        <v>9030.4</v>
      </c>
      <c r="E24" s="38" t="n">
        <f aca="false">E12+E18</f>
        <v>9311.616</v>
      </c>
      <c r="F24" s="38" t="n">
        <f aca="false">F12+F18</f>
        <v>9604.08064</v>
      </c>
      <c r="G24" s="38" t="n">
        <f aca="false">G12+G18</f>
        <v>9908.2438656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176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177</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9" customFormat="false" ht="15" hidden="false" customHeight="false" outlineLevel="0" collapsed="false">
      <c r="B9" s="11" t="s">
        <v>89</v>
      </c>
      <c r="C9" s="29" t="n">
        <f aca="false">Base_Fee_Income*(1+Fee_Growth)</f>
        <v>206</v>
      </c>
      <c r="D9" s="29" t="n">
        <f aca="false">C9*(1+Fee_Growth)</f>
        <v>212.18</v>
      </c>
      <c r="E9" s="29" t="n">
        <f aca="false">D9*(1+Fee_Growth)</f>
        <v>218.5454</v>
      </c>
      <c r="F9" s="29" t="n">
        <f aca="false">E9*(1+Fee_Growth)</f>
        <v>225.101762</v>
      </c>
      <c r="G9" s="29" t="n">
        <f aca="false">F9*(1+Fee_Growth)</f>
        <v>231.85481486</v>
      </c>
    </row>
    <row r="10" customFormat="false" ht="15" hidden="false" customHeight="false" outlineLevel="0" collapsed="false">
      <c r="B10" s="11" t="s">
        <v>178</v>
      </c>
      <c r="C10" s="29" t="n">
        <f aca="false">0</f>
        <v>0</v>
      </c>
      <c r="D10" s="29" t="n">
        <f aca="false">0</f>
        <v>0</v>
      </c>
      <c r="E10" s="29" t="n">
        <f aca="false">0</f>
        <v>0</v>
      </c>
      <c r="F10" s="29" t="n">
        <f aca="false">0</f>
        <v>0</v>
      </c>
      <c r="G10" s="29" t="n">
        <f aca="false">0</f>
        <v>0</v>
      </c>
    </row>
    <row r="11" customFormat="false" ht="15" hidden="false" customHeight="false" outlineLevel="0" collapsed="false">
      <c r="B11" s="11" t="s">
        <v>179</v>
      </c>
      <c r="C11" s="39" t="n">
        <f aca="false">C9+C10</f>
        <v>206</v>
      </c>
      <c r="D11" s="39" t="n">
        <f aca="false">D9+D10</f>
        <v>212.18</v>
      </c>
      <c r="E11" s="39" t="n">
        <f aca="false">E9+E10</f>
        <v>218.5454</v>
      </c>
      <c r="F11" s="39" t="n">
        <f aca="false">F9+F10</f>
        <v>225.101762</v>
      </c>
      <c r="G11" s="39" t="n">
        <f aca="false">G9+G10</f>
        <v>231.85481486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180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181</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8" customFormat="false" ht="15" hidden="false" customHeight="false" outlineLevel="0" collapsed="false">
      <c r="B8" s="23" t="s">
        <v>182</v>
      </c>
      <c r="C8" s="24"/>
      <c r="D8" s="24"/>
      <c r="E8" s="24"/>
      <c r="F8" s="24"/>
      <c r="G8" s="24"/>
    </row>
    <row r="9" customFormat="false" ht="15" hidden="false" customHeight="false" outlineLevel="0" collapsed="false">
      <c r="B9" s="11" t="s">
        <v>183</v>
      </c>
      <c r="C9" s="29" t="n">
        <f aca="false">Loan_Book!C14*Yield_Corp</f>
        <v>232.789375</v>
      </c>
      <c r="D9" s="29" t="n">
        <f aca="false">Loan_Book!D14*Yield_Corp</f>
        <v>243.435521875</v>
      </c>
      <c r="E9" s="29" t="n">
        <f aca="false">Loan_Book!E14*Yield_Corp</f>
        <v>254.390120359375</v>
      </c>
      <c r="F9" s="29" t="n">
        <f aca="false">Loan_Book!F14*Yield_Corp</f>
        <v>265.837675775547</v>
      </c>
      <c r="G9" s="29" t="n">
        <f aca="false">Loan_Book!G14*Yield_Corp</f>
        <v>277.800371185447</v>
      </c>
    </row>
    <row r="10" customFormat="false" ht="15" hidden="false" customHeight="false" outlineLevel="0" collapsed="false">
      <c r="B10" s="11" t="s">
        <v>184</v>
      </c>
      <c r="C10" s="29" t="n">
        <f aca="false">Loan_Book!C25*Yield_Retail</f>
        <v>196.6025</v>
      </c>
      <c r="D10" s="29" t="n">
        <f aca="false">Loan_Book!D25*Yield_Retail</f>
        <v>209.8091625</v>
      </c>
      <c r="E10" s="29" t="n">
        <f aca="false">Loan_Book!E25*Yield_Retail</f>
        <v>223.4467580625</v>
      </c>
      <c r="F10" s="29" t="n">
        <f aca="false">Loan_Book!F25*Yield_Retail</f>
        <v>237.970797336563</v>
      </c>
      <c r="G10" s="29" t="n">
        <f aca="false">Loan_Book!G25*Yield_Retail</f>
        <v>253.438899163439</v>
      </c>
    </row>
    <row r="11" customFormat="false" ht="15" hidden="false" customHeight="false" outlineLevel="0" collapsed="false">
      <c r="B11" s="11" t="s">
        <v>185</v>
      </c>
      <c r="C11" s="29" t="n">
        <f aca="false">Loan_Book!C36*Yield_Mort</f>
        <v>140.15375</v>
      </c>
      <c r="D11" s="29" t="n">
        <f aca="false">Loan_Book!D36*Yield_Mort</f>
        <v>145.5208425</v>
      </c>
      <c r="E11" s="29" t="n">
        <f aca="false">Loan_Book!E36*Yield_Mort</f>
        <v>151.050634515</v>
      </c>
      <c r="F11" s="29" t="n">
        <f aca="false">Loan_Book!F36*Yield_Mort</f>
        <v>156.79055862657</v>
      </c>
      <c r="G11" s="29" t="n">
        <f aca="false">Loan_Book!G36*Yield_Mort</f>
        <v>162.74859985438</v>
      </c>
    </row>
    <row r="12" customFormat="false" ht="15" hidden="false" customHeight="false" outlineLevel="0" collapsed="false">
      <c r="B12" s="11" t="s">
        <v>186</v>
      </c>
      <c r="C12" s="29" t="n">
        <f aca="false">Open_Total_Assets*0.18*Yield_HQLA</f>
        <v>72</v>
      </c>
      <c r="D12" s="29" t="n">
        <f aca="false">Open_Total_Assets*0.18*Yield_HQLA</f>
        <v>72</v>
      </c>
      <c r="E12" s="29" t="n">
        <f aca="false">Open_Total_Assets*0.18*Yield_HQLA</f>
        <v>72</v>
      </c>
      <c r="F12" s="29" t="n">
        <f aca="false">Open_Total_Assets*0.18*Yield_HQLA</f>
        <v>72</v>
      </c>
      <c r="G12" s="29" t="n">
        <f aca="false">Open_Total_Assets*0.18*Yield_HQLA</f>
        <v>72</v>
      </c>
    </row>
    <row r="13" customFormat="false" ht="15" hidden="false" customHeight="false" outlineLevel="0" collapsed="false">
      <c r="B13" s="11" t="s">
        <v>187</v>
      </c>
      <c r="C13" s="29" t="n">
        <f aca="false">Open_Total_Assets*0.08*Yield_Cash</f>
        <v>34</v>
      </c>
      <c r="D13" s="29" t="n">
        <f aca="false">Open_Total_Assets*0.08*Yield_Cash</f>
        <v>34</v>
      </c>
      <c r="E13" s="29" t="n">
        <f aca="false">Open_Total_Assets*0.08*Yield_Cash</f>
        <v>34</v>
      </c>
      <c r="F13" s="29" t="n">
        <f aca="false">Open_Total_Assets*0.08*Yield_Cash</f>
        <v>34</v>
      </c>
      <c r="G13" s="29" t="n">
        <f aca="false">Open_Total_Assets*0.08*Yield_Cash</f>
        <v>34</v>
      </c>
    </row>
    <row r="14" customFormat="false" ht="15" hidden="false" customHeight="false" outlineLevel="0" collapsed="false">
      <c r="B14" s="11" t="s">
        <v>188</v>
      </c>
      <c r="C14" s="39" t="n">
        <f aca="false">SUM(C9:C13)</f>
        <v>675.545625</v>
      </c>
      <c r="D14" s="39" t="n">
        <f aca="false">SUM(D9:D13)</f>
        <v>704.765526875</v>
      </c>
      <c r="E14" s="39" t="n">
        <f aca="false">SUM(E9:E13)</f>
        <v>734.887512936875</v>
      </c>
      <c r="F14" s="39" t="n">
        <f aca="false">SUM(F9:F13)</f>
        <v>766.599031738679</v>
      </c>
      <c r="G14" s="39" t="n">
        <f aca="false">SUM(G9:G13)</f>
        <v>799.987870203265</v>
      </c>
    </row>
    <row r="16" customFormat="false" ht="15" hidden="false" customHeight="false" outlineLevel="0" collapsed="false">
      <c r="B16" s="11" t="s">
        <v>189</v>
      </c>
      <c r="C16" s="29" t="n">
        <f aca="false">Funding_Book!C23</f>
        <v>-275.75</v>
      </c>
      <c r="D16" s="29" t="n">
        <f aca="false">Funding_Book!D23</f>
        <v>-282.38</v>
      </c>
      <c r="E16" s="29" t="n">
        <f aca="false">Funding_Book!E23</f>
        <v>-289.2752</v>
      </c>
      <c r="F16" s="29" t="n">
        <f aca="false">Funding_Book!F23</f>
        <v>-296.446208</v>
      </c>
      <c r="G16" s="29" t="n">
        <f aca="false">Funding_Book!G23</f>
        <v>-303.90405632</v>
      </c>
    </row>
    <row r="17" customFormat="false" ht="15" hidden="false" customHeight="false" outlineLevel="0" collapsed="false">
      <c r="B17" s="11" t="s">
        <v>190</v>
      </c>
      <c r="C17" s="39" t="n">
        <f aca="false">C14+C16</f>
        <v>399.795625</v>
      </c>
      <c r="D17" s="39" t="n">
        <f aca="false">D14+D16</f>
        <v>422.385526875</v>
      </c>
      <c r="E17" s="39" t="n">
        <f aca="false">E14+E16</f>
        <v>445.612312936875</v>
      </c>
      <c r="F17" s="39" t="n">
        <f aca="false">F14+F16</f>
        <v>470.152823738679</v>
      </c>
      <c r="G17" s="39" t="n">
        <f aca="false">G14+G16</f>
        <v>496.083813883265</v>
      </c>
    </row>
    <row r="18" customFormat="false" ht="15" hidden="false" customHeight="false" outlineLevel="0" collapsed="false">
      <c r="B18" s="11" t="s">
        <v>191</v>
      </c>
      <c r="C18" s="29" t="n">
        <f aca="false">Loan_Book!C14+Loan_Book!C25+Loan_Book!C36+Open_Total_Assets*0.18+Open_Total_Assets*0.08</f>
        <v>10799.125</v>
      </c>
      <c r="D18" s="29" t="n">
        <f aca="false">Loan_Book!D14+Loan_Book!D25+Loan_Book!D36+Open_Total_Assets*0.18+Open_Total_Assets*0.08</f>
        <v>11199.512875</v>
      </c>
      <c r="E18" s="29" t="n">
        <f aca="false">Loan_Book!E14+Loan_Book!E25+Loan_Book!E36+Open_Total_Assets*0.18+Open_Total_Assets*0.08</f>
        <v>11612.140469875</v>
      </c>
      <c r="F18" s="29" t="n">
        <f aca="false">Loan_Book!F14+Loan_Book!F25+Loan_Book!F36+Open_Total_Assets*0.18+Open_Total_Assets*0.08</f>
        <v>12045.5035875584</v>
      </c>
      <c r="G18" s="29" t="n">
        <f aca="false">Loan_Book!G14+Loan_Book!G25+Loan_Book!G36+Open_Total_Assets*0.18+Open_Total_Assets*0.08</f>
        <v>12500.6952022202</v>
      </c>
    </row>
    <row r="19" customFormat="false" ht="15" hidden="false" customHeight="false" outlineLevel="0" collapsed="false">
      <c r="B19" s="11" t="s">
        <v>192</v>
      </c>
      <c r="C19" s="40" t="n">
        <f aca="false">C17/C18</f>
        <v>0.0370211128216406</v>
      </c>
      <c r="D19" s="40" t="n">
        <f aca="false">D17/D18</f>
        <v>0.0377146338049993</v>
      </c>
      <c r="E19" s="40" t="n">
        <f aca="false">E17/E18</f>
        <v>0.0383746919091198</v>
      </c>
      <c r="F19" s="40" t="n">
        <f aca="false">F17/F18</f>
        <v>0.0390313962651004</v>
      </c>
      <c r="G19" s="40" t="n">
        <f aca="false">G17/G18</f>
        <v>0.0396844980105712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193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194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8" customFormat="false" ht="15" hidden="false" customHeight="false" outlineLevel="0" collapsed="false">
      <c r="B8" s="11" t="s">
        <v>195</v>
      </c>
      <c r="C8" s="41" t="n">
        <f aca="false">NII_Margins!C17+NonInt_Inc!C11</f>
        <v>605.795625</v>
      </c>
      <c r="D8" s="41" t="n">
        <f aca="false">NII_Margins!D17+NonInt_Inc!D11</f>
        <v>634.565526875</v>
      </c>
      <c r="E8" s="41" t="n">
        <f aca="false">NII_Margins!E17+NonInt_Inc!E11</f>
        <v>664.157712936875</v>
      </c>
      <c r="F8" s="41" t="n">
        <f aca="false">NII_Margins!F17+NonInt_Inc!F11</f>
        <v>695.25458573868</v>
      </c>
      <c r="G8" s="41" t="n">
        <f aca="false">NII_Margins!G17+NonInt_Inc!G11</f>
        <v>727.938628743265</v>
      </c>
    </row>
    <row r="10" customFormat="false" ht="15" hidden="false" customHeight="false" outlineLevel="0" collapsed="false">
      <c r="B10" s="11" t="s">
        <v>92</v>
      </c>
      <c r="C10" s="29" t="n">
        <f aca="false">-C8*Opex_Staff_Pct</f>
        <v>-193.8546</v>
      </c>
      <c r="D10" s="29" t="n">
        <f aca="false">-D8*Opex_Staff_Pct</f>
        <v>-203.0609686</v>
      </c>
      <c r="E10" s="29" t="n">
        <f aca="false">-E8*Opex_Staff_Pct</f>
        <v>-212.5304681398</v>
      </c>
      <c r="F10" s="29" t="n">
        <f aca="false">-F8*Opex_Staff_Pct</f>
        <v>-222.481467436377</v>
      </c>
      <c r="G10" s="29" t="n">
        <f aca="false">-G8*Opex_Staff_Pct</f>
        <v>-232.940361197845</v>
      </c>
    </row>
    <row r="11" customFormat="false" ht="15" hidden="false" customHeight="false" outlineLevel="0" collapsed="false">
      <c r="B11" s="11" t="s">
        <v>93</v>
      </c>
      <c r="C11" s="29" t="n">
        <f aca="false">-C8*Opex_IT_Pct</f>
        <v>-60.5795625</v>
      </c>
      <c r="D11" s="29" t="n">
        <f aca="false">-D8*Opex_IT_Pct</f>
        <v>-63.4565526875</v>
      </c>
      <c r="E11" s="29" t="n">
        <f aca="false">-E8*Opex_IT_Pct</f>
        <v>-66.4157712936875</v>
      </c>
      <c r="F11" s="29" t="n">
        <f aca="false">-F8*Opex_IT_Pct</f>
        <v>-69.525458573868</v>
      </c>
      <c r="G11" s="29" t="n">
        <f aca="false">-G8*Opex_IT_Pct</f>
        <v>-72.7938628743265</v>
      </c>
    </row>
    <row r="12" customFormat="false" ht="15" hidden="false" customHeight="false" outlineLevel="0" collapsed="false">
      <c r="B12" s="11" t="s">
        <v>94</v>
      </c>
      <c r="C12" s="29" t="n">
        <f aca="false">-C8*Opex_Premises_Pct</f>
        <v>-36.3477375</v>
      </c>
      <c r="D12" s="29" t="n">
        <f aca="false">-D8*Opex_Premises_Pct</f>
        <v>-38.0739316125</v>
      </c>
      <c r="E12" s="29" t="n">
        <f aca="false">-E8*Opex_Premises_Pct</f>
        <v>-39.8494627762125</v>
      </c>
      <c r="F12" s="29" t="n">
        <f aca="false">-F8*Opex_Premises_Pct</f>
        <v>-41.7152751443208</v>
      </c>
      <c r="G12" s="29" t="n">
        <f aca="false">-G8*Opex_Premises_Pct</f>
        <v>-43.6763177245959</v>
      </c>
    </row>
    <row r="13" customFormat="false" ht="15" hidden="false" customHeight="false" outlineLevel="0" collapsed="false">
      <c r="B13" s="11" t="s">
        <v>95</v>
      </c>
      <c r="C13" s="29" t="n">
        <f aca="false">-C8*Opex_Reg_Pct</f>
        <v>-24.231825</v>
      </c>
      <c r="D13" s="29" t="n">
        <f aca="false">-D8*Opex_Reg_Pct</f>
        <v>-25.382621075</v>
      </c>
      <c r="E13" s="29" t="n">
        <f aca="false">-E8*Opex_Reg_Pct</f>
        <v>-26.566308517475</v>
      </c>
      <c r="F13" s="29" t="n">
        <f aca="false">-F8*Opex_Reg_Pct</f>
        <v>-27.8101834295472</v>
      </c>
      <c r="G13" s="29" t="n">
        <f aca="false">-G8*Opex_Reg_Pct</f>
        <v>-29.1175451497306</v>
      </c>
    </row>
    <row r="14" customFormat="false" ht="15" hidden="false" customHeight="false" outlineLevel="0" collapsed="false">
      <c r="B14" s="11" t="s">
        <v>96</v>
      </c>
      <c r="C14" s="29" t="n">
        <f aca="false">-C8*Opex_Other_Pct</f>
        <v>-18.17386875</v>
      </c>
      <c r="D14" s="29" t="n">
        <f aca="false">-D8*Opex_Other_Pct</f>
        <v>-19.03696580625</v>
      </c>
      <c r="E14" s="29" t="n">
        <f aca="false">-E8*Opex_Other_Pct</f>
        <v>-19.9247313881063</v>
      </c>
      <c r="F14" s="29" t="n">
        <f aca="false">-F8*Opex_Other_Pct</f>
        <v>-20.8576375721604</v>
      </c>
      <c r="G14" s="29" t="n">
        <f aca="false">-G8*Opex_Other_Pct</f>
        <v>-21.838158862298</v>
      </c>
    </row>
    <row r="15" customFormat="false" ht="15" hidden="false" customHeight="false" outlineLevel="0" collapsed="false">
      <c r="B15" s="11" t="s">
        <v>196</v>
      </c>
      <c r="C15" s="39" t="n">
        <f aca="false">SUM(C10:C14)</f>
        <v>-333.18759375</v>
      </c>
      <c r="D15" s="39" t="n">
        <f aca="false">SUM(D10:D14)</f>
        <v>-349.01103978125</v>
      </c>
      <c r="E15" s="39" t="n">
        <f aca="false">SUM(E10:E14)</f>
        <v>-365.286742115281</v>
      </c>
      <c r="F15" s="39" t="n">
        <f aca="false">SUM(F10:F14)</f>
        <v>-382.390022156274</v>
      </c>
      <c r="G15" s="39" t="n">
        <f aca="false">SUM(G10:G14)</f>
        <v>-400.366245808796</v>
      </c>
    </row>
    <row r="16" customFormat="false" ht="15" hidden="false" customHeight="false" outlineLevel="0" collapsed="false">
      <c r="B16" s="11" t="s">
        <v>197</v>
      </c>
      <c r="C16" s="40" t="n">
        <f aca="false">-C15/C8</f>
        <v>0.55</v>
      </c>
      <c r="D16" s="40" t="n">
        <f aca="false">-D15/D8</f>
        <v>0.55</v>
      </c>
      <c r="E16" s="40" t="n">
        <f aca="false">-E15/E8</f>
        <v>0.55</v>
      </c>
      <c r="F16" s="40" t="n">
        <f aca="false">-F15/F8</f>
        <v>0.55</v>
      </c>
      <c r="G16" s="40" t="n">
        <f aca="false">-G15/G8</f>
        <v>0.55</v>
      </c>
    </row>
    <row r="18" customFormat="false" ht="15" hidden="false" customHeight="false" outlineLevel="0" collapsed="false">
      <c r="B18" s="11" t="s">
        <v>198</v>
      </c>
      <c r="C18" s="29" t="n">
        <f aca="false">-C8*Capex_Pct</f>
        <v>-18.17386875</v>
      </c>
      <c r="D18" s="29" t="n">
        <f aca="false">-D8*Capex_Pct</f>
        <v>-19.03696580625</v>
      </c>
      <c r="E18" s="29" t="n">
        <f aca="false">-E8*Capex_Pct</f>
        <v>-19.9247313881063</v>
      </c>
      <c r="F18" s="29" t="n">
        <f aca="false">-F8*Capex_Pct</f>
        <v>-20.8576375721604</v>
      </c>
      <c r="G18" s="29" t="n">
        <f aca="false">-G8*Capex_Pct</f>
        <v>-21.838158862298</v>
      </c>
    </row>
    <row r="19" customFormat="false" ht="15" hidden="false" customHeight="false" outlineLevel="0" collapsed="false">
      <c r="B19" s="11" t="s">
        <v>199</v>
      </c>
      <c r="C19" s="29" t="n">
        <f aca="false">0</f>
        <v>0</v>
      </c>
      <c r="D19" s="29" t="n">
        <f aca="false">C21</f>
        <v>-31.817386875</v>
      </c>
      <c r="E19" s="29" t="n">
        <f aca="false">D21</f>
        <v>-65.538470330625</v>
      </c>
      <c r="F19" s="29" t="n">
        <f aca="false">E21</f>
        <v>-101.252026925061</v>
      </c>
      <c r="G19" s="29" t="n">
        <f aca="false">F21</f>
        <v>-139.051347276712</v>
      </c>
    </row>
    <row r="20" customFormat="false" ht="15" hidden="false" customHeight="false" outlineLevel="0" collapsed="false">
      <c r="B20" s="11" t="s">
        <v>200</v>
      </c>
      <c r="C20" s="29" t="n">
        <f aca="false">-(Open_Net_PPE-C18)/Depr_Life</f>
        <v>-31.817386875</v>
      </c>
      <c r="D20" s="29" t="n">
        <f aca="false">-(Open_Net_PPE-SUM($C$18:D18))/Depr_Life</f>
        <v>-33.721083455625</v>
      </c>
      <c r="E20" s="29" t="n">
        <f aca="false">-(Open_Net_PPE-SUM($C$18:E18))/Depr_Life</f>
        <v>-35.7135565944356</v>
      </c>
      <c r="F20" s="29" t="n">
        <f aca="false">-(Open_Net_PPE-SUM($C$18:F18))/Depr_Life</f>
        <v>-37.7993203516517</v>
      </c>
      <c r="G20" s="29" t="n">
        <f aca="false">-(Open_Net_PPE-SUM($C$18:G18))/Depr_Life</f>
        <v>-39.9831362378815</v>
      </c>
    </row>
    <row r="21" customFormat="false" ht="15" hidden="false" customHeight="false" outlineLevel="0" collapsed="false">
      <c r="B21" s="11" t="s">
        <v>201</v>
      </c>
      <c r="C21" s="29" t="n">
        <f aca="false">C19+C20</f>
        <v>-31.817386875</v>
      </c>
      <c r="D21" s="29" t="n">
        <f aca="false">D19+D20</f>
        <v>-65.538470330625</v>
      </c>
      <c r="E21" s="29" t="n">
        <f aca="false">E19+E20</f>
        <v>-101.252026925061</v>
      </c>
      <c r="F21" s="29" t="n">
        <f aca="false">F19+F20</f>
        <v>-139.051347276712</v>
      </c>
      <c r="G21" s="29" t="n">
        <f aca="false">G19+G20</f>
        <v>-179.034483514594</v>
      </c>
    </row>
    <row r="22" customFormat="false" ht="15" hidden="false" customHeight="false" outlineLevel="0" collapsed="false">
      <c r="B22" s="11" t="s">
        <v>202</v>
      </c>
      <c r="C22" s="29" t="n">
        <f aca="false">Open_Net_PPE-SUM($C$18:C18)</f>
        <v>318.17386875</v>
      </c>
      <c r="D22" s="29" t="n">
        <f aca="false">Open_Net_PPE-SUM($C$18:D18)</f>
        <v>337.21083455625</v>
      </c>
      <c r="E22" s="29" t="n">
        <f aca="false">Open_Net_PPE-SUM($C$18:E18)</f>
        <v>357.135565944356</v>
      </c>
      <c r="F22" s="29" t="n">
        <f aca="false">Open_Net_PPE-SUM($C$18:F18)</f>
        <v>377.993203516517</v>
      </c>
      <c r="G22" s="29" t="n">
        <f aca="false">Open_Net_PPE-SUM($C$18:G18)</f>
        <v>399.831362378815</v>
      </c>
    </row>
    <row r="23" customFormat="false" ht="15" hidden="false" customHeight="false" outlineLevel="0" collapsed="false">
      <c r="B23" s="11" t="s">
        <v>203</v>
      </c>
      <c r="C23" s="38" t="n">
        <f aca="false">C22+C21</f>
        <v>286.356481875</v>
      </c>
      <c r="D23" s="38" t="n">
        <f aca="false">D22+D21</f>
        <v>271.672364225625</v>
      </c>
      <c r="E23" s="38" t="n">
        <f aca="false">E22+E21</f>
        <v>255.883539019296</v>
      </c>
      <c r="F23" s="38" t="n">
        <f aca="false">F22+F21</f>
        <v>238.941856239804</v>
      </c>
      <c r="G23" s="38" t="n">
        <f aca="false">G22+G21</f>
        <v>220.796878864221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204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205</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9" customFormat="false" ht="15" hidden="false" customHeight="false" outlineLevel="0" collapsed="false">
      <c r="B9" s="11" t="s">
        <v>190</v>
      </c>
      <c r="C9" s="29" t="n">
        <f aca="false">NII_Margins!C17</f>
        <v>399.795625</v>
      </c>
      <c r="D9" s="29" t="n">
        <f aca="false">NII_Margins!D17</f>
        <v>422.385526875</v>
      </c>
      <c r="E9" s="29" t="n">
        <f aca="false">NII_Margins!E17</f>
        <v>445.612312936875</v>
      </c>
      <c r="F9" s="29" t="n">
        <f aca="false">NII_Margins!F17</f>
        <v>470.152823738679</v>
      </c>
      <c r="G9" s="29" t="n">
        <f aca="false">NII_Margins!G17</f>
        <v>496.083813883265</v>
      </c>
    </row>
    <row r="10" customFormat="false" ht="15" hidden="false" customHeight="false" outlineLevel="0" collapsed="false">
      <c r="B10" s="11" t="s">
        <v>206</v>
      </c>
      <c r="C10" s="29" t="n">
        <f aca="false">NonInt_Inc!C11</f>
        <v>206</v>
      </c>
      <c r="D10" s="29" t="n">
        <f aca="false">NonInt_Inc!D11</f>
        <v>212.18</v>
      </c>
      <c r="E10" s="29" t="n">
        <f aca="false">NonInt_Inc!E11</f>
        <v>218.5454</v>
      </c>
      <c r="F10" s="29" t="n">
        <f aca="false">NonInt_Inc!F11</f>
        <v>225.101762</v>
      </c>
      <c r="G10" s="29" t="n">
        <f aca="false">NonInt_Inc!G11</f>
        <v>231.85481486</v>
      </c>
    </row>
    <row r="11" customFormat="false" ht="15" hidden="false" customHeight="false" outlineLevel="0" collapsed="false">
      <c r="B11" s="11" t="s">
        <v>207</v>
      </c>
      <c r="C11" s="38" t="n">
        <f aca="false">C9+C10</f>
        <v>605.795625</v>
      </c>
      <c r="D11" s="38" t="n">
        <f aca="false">D9+D10</f>
        <v>634.565526875</v>
      </c>
      <c r="E11" s="38" t="n">
        <f aca="false">E9+E10</f>
        <v>664.157712936875</v>
      </c>
      <c r="F11" s="38" t="n">
        <f aca="false">F9+F10</f>
        <v>695.25458573868</v>
      </c>
      <c r="G11" s="38" t="n">
        <f aca="false">G9+G10</f>
        <v>727.938628743265</v>
      </c>
    </row>
    <row r="12" customFormat="false" ht="15" hidden="false" customHeight="false" outlineLevel="0" collapsed="false">
      <c r="B12" s="11" t="s">
        <v>196</v>
      </c>
      <c r="C12" s="29" t="n">
        <f aca="false">Opex_Capex!C15</f>
        <v>-333.18759375</v>
      </c>
      <c r="D12" s="29" t="n">
        <f aca="false">Opex_Capex!D15</f>
        <v>-349.01103978125</v>
      </c>
      <c r="E12" s="29" t="n">
        <f aca="false">Opex_Capex!E15</f>
        <v>-365.286742115281</v>
      </c>
      <c r="F12" s="29" t="n">
        <f aca="false">Opex_Capex!F15</f>
        <v>-382.390022156274</v>
      </c>
      <c r="G12" s="29" t="n">
        <f aca="false">Opex_Capex!G15</f>
        <v>-400.366245808796</v>
      </c>
    </row>
    <row r="13" customFormat="false" ht="15" hidden="false" customHeight="false" outlineLevel="0" collapsed="false">
      <c r="B13" s="11" t="s">
        <v>208</v>
      </c>
      <c r="C13" s="29" t="n">
        <f aca="false">Opex_Capex!C20</f>
        <v>-31.817386875</v>
      </c>
      <c r="D13" s="29" t="n">
        <f aca="false">Opex_Capex!D20</f>
        <v>-33.721083455625</v>
      </c>
      <c r="E13" s="29" t="n">
        <f aca="false">Opex_Capex!E20</f>
        <v>-35.7135565944356</v>
      </c>
      <c r="F13" s="29" t="n">
        <f aca="false">Opex_Capex!F20</f>
        <v>-37.7993203516517</v>
      </c>
      <c r="G13" s="29" t="n">
        <f aca="false">Opex_Capex!G20</f>
        <v>-39.9831362378815</v>
      </c>
    </row>
    <row r="14" customFormat="false" ht="15" hidden="false" customHeight="false" outlineLevel="0" collapsed="false">
      <c r="B14" s="11" t="s">
        <v>209</v>
      </c>
      <c r="C14" s="38" t="n">
        <f aca="false">C11+C12+C13</f>
        <v>240.790644375</v>
      </c>
      <c r="D14" s="38" t="n">
        <f aca="false">D11+D12+D13</f>
        <v>251.833403638125</v>
      </c>
      <c r="E14" s="38" t="n">
        <f aca="false">E11+E12+E13</f>
        <v>263.157414227158</v>
      </c>
      <c r="F14" s="38" t="n">
        <f aca="false">F11+F12+F13</f>
        <v>275.065243230754</v>
      </c>
      <c r="G14" s="38" t="n">
        <f aca="false">G11+G12+G13</f>
        <v>287.589246696588</v>
      </c>
    </row>
    <row r="15" customFormat="false" ht="15" hidden="false" customHeight="false" outlineLevel="0" collapsed="false">
      <c r="B15" s="11" t="s">
        <v>210</v>
      </c>
      <c r="C15" s="29" t="n">
        <f aca="false">Loan_Book!C43</f>
        <v>-54.045875</v>
      </c>
      <c r="D15" s="29" t="n">
        <f aca="false">Loan_Book!D43</f>
        <v>-57.145238875</v>
      </c>
      <c r="E15" s="29" t="n">
        <f aca="false">Loan_Book!E43</f>
        <v>-60.342288205375</v>
      </c>
      <c r="F15" s="29" t="n">
        <f aca="false">Loan_Book!F43</f>
        <v>-63.7248632634449</v>
      </c>
      <c r="G15" s="29" t="n">
        <f aca="false">Loan_Book!G43</f>
        <v>-67.3040585147171</v>
      </c>
    </row>
    <row r="16" customFormat="false" ht="15" hidden="false" customHeight="false" outlineLevel="0" collapsed="false">
      <c r="B16" s="11" t="s">
        <v>211</v>
      </c>
      <c r="C16" s="29" t="n">
        <f aca="false">0</f>
        <v>0</v>
      </c>
      <c r="D16" s="29" t="n">
        <f aca="false">0</f>
        <v>0</v>
      </c>
      <c r="E16" s="29" t="n">
        <f aca="false">0</f>
        <v>0</v>
      </c>
      <c r="F16" s="29" t="n">
        <f aca="false">0</f>
        <v>0</v>
      </c>
      <c r="G16" s="29" t="n">
        <f aca="false">0</f>
        <v>0</v>
      </c>
    </row>
    <row r="17" customFormat="false" ht="15" hidden="false" customHeight="false" outlineLevel="0" collapsed="false">
      <c r="B17" s="11" t="s">
        <v>212</v>
      </c>
      <c r="C17" s="38" t="n">
        <f aca="false">C14+C15+C16</f>
        <v>186.744769375</v>
      </c>
      <c r="D17" s="38" t="n">
        <f aca="false">D14+D15+D16</f>
        <v>194.688164763125</v>
      </c>
      <c r="E17" s="38" t="n">
        <f aca="false">E14+E15+E16</f>
        <v>202.815126021783</v>
      </c>
      <c r="F17" s="38" t="n">
        <f aca="false">F14+F15+F16</f>
        <v>211.340379967309</v>
      </c>
      <c r="G17" s="38" t="n">
        <f aca="false">G14+G15+G16</f>
        <v>220.285188181871</v>
      </c>
    </row>
    <row r="18" customFormat="false" ht="15" hidden="false" customHeight="false" outlineLevel="0" collapsed="false">
      <c r="B18" s="11" t="s">
        <v>213</v>
      </c>
      <c r="C18" s="29" t="n">
        <f aca="false">NOL_Opening</f>
        <v>0</v>
      </c>
      <c r="D18" s="29" t="n">
        <f aca="false">C23</f>
        <v>0</v>
      </c>
      <c r="E18" s="29" t="n">
        <f aca="false">D23</f>
        <v>0</v>
      </c>
      <c r="F18" s="29" t="n">
        <f aca="false">E23</f>
        <v>0</v>
      </c>
      <c r="G18" s="29" t="n">
        <f aca="false">F23</f>
        <v>0</v>
      </c>
    </row>
    <row r="19" customFormat="false" ht="15" hidden="false" customHeight="false" outlineLevel="0" collapsed="false">
      <c r="B19" s="11" t="s">
        <v>214</v>
      </c>
      <c r="C19" s="29" t="n">
        <f aca="false">IF(C17&lt;0,-C17,0)</f>
        <v>0</v>
      </c>
      <c r="D19" s="29" t="n">
        <f aca="false">IF(D17&lt;0,-D17,0)</f>
        <v>0</v>
      </c>
      <c r="E19" s="29" t="n">
        <f aca="false">IF(E17&lt;0,-E17,0)</f>
        <v>0</v>
      </c>
      <c r="F19" s="29" t="n">
        <f aca="false">IF(F17&lt;0,-F17,0)</f>
        <v>0</v>
      </c>
      <c r="G19" s="29" t="n">
        <f aca="false">IF(G17&lt;0,-G17,0)</f>
        <v>0</v>
      </c>
    </row>
    <row r="20" customFormat="false" ht="15" hidden="false" customHeight="false" outlineLevel="0" collapsed="false">
      <c r="B20" s="11" t="s">
        <v>215</v>
      </c>
      <c r="C20" s="29" t="n">
        <f aca="false">IF(C17&gt;0,MIN(C18,C17),0)</f>
        <v>0</v>
      </c>
      <c r="D20" s="29" t="n">
        <f aca="false">IF(D17&gt;0,MIN(D18,D17),0)</f>
        <v>0</v>
      </c>
      <c r="E20" s="29" t="n">
        <f aca="false">IF(E17&gt;0,MIN(E18,E17),0)</f>
        <v>0</v>
      </c>
      <c r="F20" s="29" t="n">
        <f aca="false">IF(F17&gt;0,MIN(F18,F17),0)</f>
        <v>0</v>
      </c>
      <c r="G20" s="29" t="n">
        <f aca="false">IF(G17&gt;0,MIN(G18,G17),0)</f>
        <v>0</v>
      </c>
    </row>
    <row r="21" customFormat="false" ht="15" hidden="false" customHeight="false" outlineLevel="0" collapsed="false">
      <c r="B21" s="11" t="s">
        <v>216</v>
      </c>
      <c r="C21" s="29" t="n">
        <f aca="false">MAX(0,C17-C20)</f>
        <v>186.744769375</v>
      </c>
      <c r="D21" s="29" t="n">
        <f aca="false">MAX(0,D17-D20)</f>
        <v>194.688164763125</v>
      </c>
      <c r="E21" s="29" t="n">
        <f aca="false">MAX(0,E17-E20)</f>
        <v>202.815126021783</v>
      </c>
      <c r="F21" s="29" t="n">
        <f aca="false">MAX(0,F17-F20)</f>
        <v>211.340379967309</v>
      </c>
      <c r="G21" s="29" t="n">
        <f aca="false">MAX(0,G17-G20)</f>
        <v>220.285188181871</v>
      </c>
    </row>
    <row r="22" customFormat="false" ht="15" hidden="false" customHeight="false" outlineLevel="0" collapsed="false">
      <c r="B22" s="11" t="s">
        <v>108</v>
      </c>
      <c r="C22" s="29" t="n">
        <f aca="false">-C21*Tax_Rate</f>
        <v>-44.81874465</v>
      </c>
      <c r="D22" s="29" t="n">
        <f aca="false">-D21*Tax_Rate</f>
        <v>-46.72515954315</v>
      </c>
      <c r="E22" s="29" t="n">
        <f aca="false">-E21*Tax_Rate</f>
        <v>-48.675630245228</v>
      </c>
      <c r="F22" s="29" t="n">
        <f aca="false">-F21*Tax_Rate</f>
        <v>-50.7216911921542</v>
      </c>
      <c r="G22" s="29" t="n">
        <f aca="false">-G21*Tax_Rate</f>
        <v>-52.868445163649</v>
      </c>
    </row>
    <row r="23" customFormat="false" ht="15" hidden="false" customHeight="false" outlineLevel="0" collapsed="false">
      <c r="B23" s="11" t="s">
        <v>217</v>
      </c>
      <c r="C23" s="29" t="n">
        <f aca="false">C18+C19-C20</f>
        <v>0</v>
      </c>
      <c r="D23" s="29" t="n">
        <f aca="false">D18+D19-D20</f>
        <v>0</v>
      </c>
      <c r="E23" s="29" t="n">
        <f aca="false">E18+E19-E20</f>
        <v>0</v>
      </c>
      <c r="F23" s="29" t="n">
        <f aca="false">F18+F19-F20</f>
        <v>0</v>
      </c>
      <c r="G23" s="29" t="n">
        <f aca="false">G18+G19-G20</f>
        <v>0</v>
      </c>
    </row>
    <row r="24" customFormat="false" ht="15" hidden="false" customHeight="false" outlineLevel="0" collapsed="false">
      <c r="B24" s="11" t="s">
        <v>218</v>
      </c>
      <c r="C24" s="39" t="n">
        <f aca="false">C17+C22</f>
        <v>141.926024725</v>
      </c>
      <c r="D24" s="39" t="n">
        <f aca="false">D17+D22</f>
        <v>147.963005219975</v>
      </c>
      <c r="E24" s="39" t="n">
        <f aca="false">E17+E22</f>
        <v>154.139495776555</v>
      </c>
      <c r="F24" s="39" t="n">
        <f aca="false">F17+F22</f>
        <v>160.618688775155</v>
      </c>
      <c r="G24" s="39" t="n">
        <f aca="false">G17+G22</f>
        <v>167.416743018222</v>
      </c>
    </row>
    <row r="25" customFormat="false" ht="15" hidden="false" customHeight="false" outlineLevel="0" collapsed="false">
      <c r="B25" s="11" t="s">
        <v>219</v>
      </c>
      <c r="C25" s="29" t="n">
        <f aca="false">MAX(0,C24*Div_Payout_Ratio)</f>
        <v>49.67410865375</v>
      </c>
      <c r="D25" s="29" t="n">
        <f aca="false">MAX(0,D24*Div_Payout_Ratio)</f>
        <v>51.7870518269912</v>
      </c>
      <c r="E25" s="29" t="n">
        <f aca="false">MAX(0,E24*Div_Payout_Ratio)</f>
        <v>53.9488235217943</v>
      </c>
      <c r="F25" s="29" t="n">
        <f aca="false">MAX(0,F24*Div_Payout_Ratio)</f>
        <v>56.2165410713042</v>
      </c>
      <c r="G25" s="29" t="n">
        <f aca="false">MAX(0,G24*Div_Payout_Ratio)</f>
        <v>58.5958600563776</v>
      </c>
    </row>
    <row r="26" customFormat="false" ht="15" hidden="false" customHeight="false" outlineLevel="0" collapsed="false">
      <c r="B26" s="11" t="s">
        <v>220</v>
      </c>
      <c r="C26" s="29" t="n">
        <f aca="false">-Open_AT1_Capital*AT1_Coupon_Rate</f>
        <v>-10.8</v>
      </c>
      <c r="D26" s="29" t="n">
        <f aca="false">-Open_AT1_Capital*AT1_Coupon_Rate</f>
        <v>-10.8</v>
      </c>
      <c r="E26" s="29" t="n">
        <f aca="false">-Open_AT1_Capital*AT1_Coupon_Rate</f>
        <v>-10.8</v>
      </c>
      <c r="F26" s="29" t="n">
        <f aca="false">-Open_AT1_Capital*AT1_Coupon_Rate</f>
        <v>-10.8</v>
      </c>
      <c r="G26" s="29" t="n">
        <f aca="false">-Open_AT1_Capital*AT1_Coupon_Rate</f>
        <v>-10.8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4" t="s">
        <v>221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35" t="s">
        <v>222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36" t="s">
        <v>119</v>
      </c>
      <c r="C5" s="37" t="n">
        <f aca="false">Model_Start_Year+0</f>
        <v>2025</v>
      </c>
      <c r="D5" s="37" t="n">
        <f aca="false">Model_Start_Year+1</f>
        <v>2026</v>
      </c>
      <c r="E5" s="37" t="n">
        <f aca="false">Model_Start_Year+2</f>
        <v>2027</v>
      </c>
      <c r="F5" s="37" t="n">
        <f aca="false">Model_Start_Year+3</f>
        <v>2028</v>
      </c>
      <c r="G5" s="37" t="n">
        <f aca="false">Model_Start_Year+4</f>
        <v>2029</v>
      </c>
    </row>
    <row r="6" customFormat="false" ht="15" hidden="false" customHeight="false" outlineLevel="0" collapsed="false">
      <c r="B6" s="11" t="s">
        <v>120</v>
      </c>
      <c r="C6" s="22" t="n">
        <v>1</v>
      </c>
      <c r="D6" s="22" t="n">
        <v>2</v>
      </c>
      <c r="E6" s="22" t="n">
        <v>3</v>
      </c>
      <c r="F6" s="22" t="n">
        <v>4</v>
      </c>
      <c r="G6" s="22" t="n">
        <v>5</v>
      </c>
    </row>
    <row r="8" customFormat="false" ht="15" hidden="false" customHeight="false" outlineLevel="0" collapsed="false">
      <c r="B8" s="23" t="s">
        <v>223</v>
      </c>
      <c r="C8" s="24"/>
      <c r="D8" s="24"/>
      <c r="E8" s="24"/>
      <c r="F8" s="24"/>
      <c r="G8" s="24"/>
    </row>
    <row r="9" customFormat="false" ht="15" hidden="false" customHeight="false" outlineLevel="0" collapsed="false">
      <c r="B9" s="11" t="s">
        <v>187</v>
      </c>
      <c r="C9" s="29" t="n">
        <f aca="false">Open_Total_Assets*0.08</f>
        <v>800</v>
      </c>
      <c r="D9" s="29" t="n">
        <f aca="false">Open_Total_Assets*0.08</f>
        <v>800</v>
      </c>
      <c r="E9" s="29" t="n">
        <f aca="false">Open_Total_Assets*0.08</f>
        <v>800</v>
      </c>
      <c r="F9" s="29" t="n">
        <f aca="false">Open_Total_Assets*0.08</f>
        <v>800</v>
      </c>
      <c r="G9" s="29" t="n">
        <f aca="false">Open_Total_Assets*0.08</f>
        <v>800</v>
      </c>
    </row>
    <row r="10" customFormat="false" ht="15" hidden="false" customHeight="false" outlineLevel="0" collapsed="false">
      <c r="B10" s="11" t="s">
        <v>186</v>
      </c>
      <c r="C10" s="29" t="n">
        <f aca="false">Open_Total_Assets*0.18</f>
        <v>1800</v>
      </c>
      <c r="D10" s="29" t="n">
        <f aca="false">Open_Total_Assets*0.18</f>
        <v>1800</v>
      </c>
      <c r="E10" s="29" t="n">
        <f aca="false">Open_Total_Assets*0.18</f>
        <v>1800</v>
      </c>
      <c r="F10" s="29" t="n">
        <f aca="false">Open_Total_Assets*0.18</f>
        <v>1800</v>
      </c>
      <c r="G10" s="29" t="n">
        <f aca="false">Open_Total_Assets*0.18</f>
        <v>1800</v>
      </c>
    </row>
    <row r="11" customFormat="false" ht="15" hidden="false" customHeight="false" outlineLevel="0" collapsed="false">
      <c r="B11" s="11" t="s">
        <v>121</v>
      </c>
      <c r="C11" s="29" t="n">
        <f aca="false">Loan_Book!C13</f>
        <v>3662.75</v>
      </c>
      <c r="D11" s="29" t="n">
        <f aca="false">Loan_Book!D13</f>
        <v>3827.57375</v>
      </c>
      <c r="E11" s="29" t="n">
        <f aca="false">Loan_Book!E13</f>
        <v>3999.81456875</v>
      </c>
      <c r="F11" s="29" t="n">
        <f aca="false">Loan_Book!F13</f>
        <v>4179.80622434375</v>
      </c>
      <c r="G11" s="29" t="n">
        <f aca="false">Loan_Book!G13</f>
        <v>4367.89750443922</v>
      </c>
    </row>
    <row r="12" customFormat="false" ht="15" hidden="false" customHeight="false" outlineLevel="0" collapsed="false">
      <c r="B12" s="11" t="s">
        <v>132</v>
      </c>
      <c r="C12" s="29" t="n">
        <f aca="false">Loan_Book!C24</f>
        <v>2139</v>
      </c>
      <c r="D12" s="29" t="n">
        <f aca="false">Loan_Book!D24</f>
        <v>2278.035</v>
      </c>
      <c r="E12" s="29" t="n">
        <f aca="false">Loan_Book!E24</f>
        <v>2426.107275</v>
      </c>
      <c r="F12" s="29" t="n">
        <f aca="false">Loan_Book!F24</f>
        <v>2583.804247875</v>
      </c>
      <c r="G12" s="29" t="n">
        <f aca="false">Loan_Book!G24</f>
        <v>2751.75152398688</v>
      </c>
    </row>
    <row r="13" customFormat="false" ht="15" hidden="false" customHeight="false" outlineLevel="0" collapsed="false">
      <c r="B13" s="11" t="s">
        <v>143</v>
      </c>
      <c r="C13" s="29" t="n">
        <f aca="false">Loan_Book!C35</f>
        <v>2596.5</v>
      </c>
      <c r="D13" s="29" t="n">
        <f aca="false">Loan_Book!D35</f>
        <v>2695.167</v>
      </c>
      <c r="E13" s="29" t="n">
        <f aca="false">Loan_Book!E35</f>
        <v>2797.583346</v>
      </c>
      <c r="F13" s="29" t="n">
        <f aca="false">Loan_Book!F35</f>
        <v>2903.891513148</v>
      </c>
      <c r="G13" s="29" t="n">
        <f aca="false">Loan_Book!G35</f>
        <v>3014.23939064762</v>
      </c>
    </row>
    <row r="14" customFormat="false" ht="15" hidden="false" customHeight="false" outlineLevel="0" collapsed="false">
      <c r="B14" s="11" t="s">
        <v>224</v>
      </c>
      <c r="C14" s="29" t="n">
        <f aca="false">-Loan_Book!C44</f>
        <v>-43.545875</v>
      </c>
      <c r="D14" s="29" t="n">
        <f aca="false">-Loan_Book!D44</f>
        <v>-45.099363875</v>
      </c>
      <c r="E14" s="29" t="n">
        <f aca="false">-Loan_Book!E44</f>
        <v>-46.742924330375</v>
      </c>
      <c r="F14" s="29" t="n">
        <f aca="false">-Loan_Book!F44</f>
        <v>-48.4819389330699</v>
      </c>
      <c r="G14" s="29" t="n">
        <f aca="false">-Loan_Book!G44</f>
        <v>-50.3221195816472</v>
      </c>
    </row>
    <row r="15" customFormat="false" ht="15" hidden="false" customHeight="false" outlineLevel="0" collapsed="false">
      <c r="B15" s="11" t="s">
        <v>225</v>
      </c>
      <c r="C15" s="38" t="n">
        <f aca="false">SUM(C11:C14)</f>
        <v>8354.704125</v>
      </c>
      <c r="D15" s="38" t="n">
        <f aca="false">SUM(D11:D14)</f>
        <v>8755.676386125</v>
      </c>
      <c r="E15" s="38" t="n">
        <f aca="false">SUM(E11:E14)</f>
        <v>9176.76226541963</v>
      </c>
      <c r="F15" s="38" t="n">
        <f aca="false">SUM(F11:F14)</f>
        <v>9619.02004643368</v>
      </c>
      <c r="G15" s="38" t="n">
        <f aca="false">SUM(G11:G14)</f>
        <v>10083.5662994921</v>
      </c>
    </row>
    <row r="16" customFormat="false" ht="15" hidden="false" customHeight="false" outlineLevel="0" collapsed="false">
      <c r="B16" s="11" t="s">
        <v>203</v>
      </c>
      <c r="C16" s="29" t="n">
        <f aca="false">Opex_Capex!C23</f>
        <v>286.356481875</v>
      </c>
      <c r="D16" s="29" t="n">
        <f aca="false">Opex_Capex!D23</f>
        <v>271.672364225625</v>
      </c>
      <c r="E16" s="29" t="n">
        <f aca="false">Opex_Capex!E23</f>
        <v>255.883539019296</v>
      </c>
      <c r="F16" s="29" t="n">
        <f aca="false">Opex_Capex!F23</f>
        <v>238.941856239804</v>
      </c>
      <c r="G16" s="29" t="n">
        <f aca="false">Opex_Capex!G23</f>
        <v>220.796878864221</v>
      </c>
    </row>
    <row r="17" customFormat="false" ht="15" hidden="false" customHeight="false" outlineLevel="0" collapsed="false">
      <c r="B17" s="11" t="s">
        <v>226</v>
      </c>
      <c r="C17" s="29" t="n">
        <f aca="false">Open_Total_Assets*0.04</f>
        <v>400</v>
      </c>
      <c r="D17" s="29" t="n">
        <f aca="false">Open_Total_Assets*0.04</f>
        <v>400</v>
      </c>
      <c r="E17" s="29" t="n">
        <f aca="false">Open_Total_Assets*0.04</f>
        <v>400</v>
      </c>
      <c r="F17" s="29" t="n">
        <f aca="false">Open_Total_Assets*0.04</f>
        <v>400</v>
      </c>
      <c r="G17" s="29" t="n">
        <f aca="false">Open_Total_Assets*0.04</f>
        <v>400</v>
      </c>
    </row>
    <row r="18" customFormat="false" ht="15" hidden="false" customHeight="false" outlineLevel="0" collapsed="false">
      <c r="B18" s="11" t="s">
        <v>227</v>
      </c>
      <c r="C18" s="39" t="n">
        <f aca="false">C9+C10+C11+C12+C13+C14+C16+C17</f>
        <v>11641.060606875</v>
      </c>
      <c r="D18" s="39" t="n">
        <f aca="false">D9+D10+D11+D12+D13+D14+D16+D17</f>
        <v>12027.3487503506</v>
      </c>
      <c r="E18" s="39" t="n">
        <f aca="false">E9+E10+E11+E12+E13+E14+E16+E17</f>
        <v>12432.6458044389</v>
      </c>
      <c r="F18" s="39" t="n">
        <f aca="false">F9+F10+F11+F12+F13+F14+F16+F17</f>
        <v>12857.9619026735</v>
      </c>
      <c r="G18" s="39" t="n">
        <f aca="false">G9+G10+G11+G12+G13+G14+G16+G17</f>
        <v>13304.3631783563</v>
      </c>
    </row>
    <row r="19" customFormat="false" ht="15" hidden="false" customHeight="false" outlineLevel="0" collapsed="false">
      <c r="B19" s="23" t="s">
        <v>228</v>
      </c>
      <c r="C19" s="24"/>
      <c r="D19" s="24"/>
      <c r="E19" s="24"/>
      <c r="F19" s="24"/>
      <c r="G19" s="24"/>
    </row>
    <row r="20" customFormat="false" ht="15" hidden="false" customHeight="false" outlineLevel="0" collapsed="false">
      <c r="B20" s="11" t="s">
        <v>160</v>
      </c>
      <c r="C20" s="29" t="n">
        <f aca="false">Funding_Book!C12</f>
        <v>6760</v>
      </c>
      <c r="D20" s="29" t="n">
        <f aca="false">Funding_Book!D12</f>
        <v>7030.4</v>
      </c>
      <c r="E20" s="29" t="n">
        <f aca="false">Funding_Book!E12</f>
        <v>7311.616</v>
      </c>
      <c r="F20" s="29" t="n">
        <f aca="false">Funding_Book!F12</f>
        <v>7604.08064</v>
      </c>
      <c r="G20" s="29" t="n">
        <f aca="false">Funding_Book!G12</f>
        <v>7908.2438656</v>
      </c>
    </row>
    <row r="21" customFormat="false" ht="15" hidden="false" customHeight="false" outlineLevel="0" collapsed="false">
      <c r="B21" s="11" t="s">
        <v>229</v>
      </c>
      <c r="C21" s="29" t="n">
        <f aca="false">C18-C20-C22-C23-C28</f>
        <v>2015.05869080375</v>
      </c>
      <c r="D21" s="29" t="n">
        <f aca="false">D18-D20-D22-D23-D28</f>
        <v>2034.77088088639</v>
      </c>
      <c r="E21" s="29" t="n">
        <f aca="false">E18-E20-E22-E23-E28</f>
        <v>2058.66126271993</v>
      </c>
      <c r="F21" s="29" t="n">
        <f aca="false">F18-F20-F22-F23-F28</f>
        <v>2087.11057325064</v>
      </c>
      <c r="G21" s="29" t="n">
        <f aca="false">G18-G20-G22-G23-G28</f>
        <v>2120.5277403716</v>
      </c>
    </row>
    <row r="22" customFormat="false" ht="15" hidden="false" customHeight="false" outlineLevel="0" collapsed="false">
      <c r="B22" s="11" t="s">
        <v>230</v>
      </c>
      <c r="C22" s="29" t="n">
        <f aca="false">Open_Sub_Debt</f>
        <v>500</v>
      </c>
      <c r="D22" s="29" t="n">
        <f aca="false">Open_Sub_Debt</f>
        <v>500</v>
      </c>
      <c r="E22" s="29" t="n">
        <f aca="false">Open_Sub_Debt</f>
        <v>500</v>
      </c>
      <c r="F22" s="29" t="n">
        <f aca="false">Open_Sub_Debt</f>
        <v>500</v>
      </c>
      <c r="G22" s="29" t="n">
        <f aca="false">Open_Sub_Debt</f>
        <v>500</v>
      </c>
    </row>
    <row r="23" customFormat="false" ht="15" hidden="false" customHeight="false" outlineLevel="0" collapsed="false">
      <c r="B23" s="11" t="s">
        <v>231</v>
      </c>
      <c r="C23" s="29" t="n">
        <f aca="false">Open_Total_Assets*0.02</f>
        <v>200</v>
      </c>
      <c r="D23" s="29" t="n">
        <f aca="false">Open_Total_Assets*0.02</f>
        <v>200</v>
      </c>
      <c r="E23" s="29" t="n">
        <f aca="false">Open_Total_Assets*0.02</f>
        <v>200</v>
      </c>
      <c r="F23" s="29" t="n">
        <f aca="false">Open_Total_Assets*0.02</f>
        <v>200</v>
      </c>
      <c r="G23" s="29" t="n">
        <f aca="false">Open_Total_Assets*0.02</f>
        <v>200</v>
      </c>
    </row>
    <row r="24" customFormat="false" ht="15" hidden="false" customHeight="false" outlineLevel="0" collapsed="false">
      <c r="B24" s="11" t="s">
        <v>232</v>
      </c>
      <c r="C24" s="38" t="n">
        <f aca="false">C20+C21+C22+C23</f>
        <v>9475.05869080375</v>
      </c>
      <c r="D24" s="38" t="n">
        <f aca="false">D20+D21+D22+D23</f>
        <v>9765.17088088639</v>
      </c>
      <c r="E24" s="38" t="n">
        <f aca="false">E20+E21+E22+E23</f>
        <v>10070.2772627199</v>
      </c>
      <c r="F24" s="38" t="n">
        <f aca="false">F20+F21+F22+F23</f>
        <v>10391.1912132506</v>
      </c>
      <c r="G24" s="38" t="n">
        <f aca="false">G20+G21+G22+G23</f>
        <v>10728.7716059716</v>
      </c>
    </row>
    <row r="25" customFormat="false" ht="15" hidden="false" customHeight="false" outlineLevel="0" collapsed="false">
      <c r="B25" s="11" t="s">
        <v>233</v>
      </c>
      <c r="C25" s="29" t="n">
        <f aca="false">Open_Total_Assets*0.08+Open_Total_Assets*0.18+Open_Corp_Loans+Open_Retail_Loans+Open_Mort_Loans-(Open_Corp_Loans*ECL_Corp_Base*0.5+Open_Retail_Loans*ECL_Retail_Base*0.5+Open_Mort_Loans*ECL_Mort_Base*0.5)+Open_Net_PPE+Open_Total_Assets*0.04-Open_Deposits-Open_Wholesale-Open_Sub_Debt-Open_Total_Assets*0.02-Open_AT1_Capital</f>
        <v>1893.75</v>
      </c>
      <c r="D25" s="29" t="n">
        <f aca="false">C25</f>
        <v>1893.75</v>
      </c>
      <c r="E25" s="29" t="n">
        <f aca="false">D25</f>
        <v>1893.75</v>
      </c>
      <c r="F25" s="29" t="n">
        <f aca="false">E25</f>
        <v>1893.75</v>
      </c>
      <c r="G25" s="29" t="n">
        <f aca="false">F25</f>
        <v>1893.75</v>
      </c>
    </row>
    <row r="26" customFormat="false" ht="15" hidden="false" customHeight="false" outlineLevel="0" collapsed="false">
      <c r="B26" s="11" t="s">
        <v>234</v>
      </c>
      <c r="C26" s="29" t="n">
        <f aca="false">Open_AT1_Capital</f>
        <v>180</v>
      </c>
      <c r="D26" s="29" t="n">
        <f aca="false">Open_AT1_Capital</f>
        <v>180</v>
      </c>
      <c r="E26" s="29" t="n">
        <f aca="false">Open_AT1_Capital</f>
        <v>180</v>
      </c>
      <c r="F26" s="29" t="n">
        <f aca="false">Open_AT1_Capital</f>
        <v>180</v>
      </c>
      <c r="G26" s="29" t="n">
        <f aca="false">Open_AT1_Capital</f>
        <v>180</v>
      </c>
    </row>
    <row r="27" customFormat="false" ht="15" hidden="false" customHeight="false" outlineLevel="0" collapsed="false">
      <c r="B27" s="11" t="s">
        <v>235</v>
      </c>
      <c r="C27" s="29" t="n">
        <f aca="false">Income_Statement!C24-Income_Statement!C25</f>
        <v>92.25191607125</v>
      </c>
      <c r="D27" s="29" t="n">
        <f aca="false">C27+Income_Statement!D24-Income_Statement!D25</f>
        <v>188.427869464234</v>
      </c>
      <c r="E27" s="29" t="n">
        <f aca="false">D27+Income_Statement!E24-Income_Statement!E25</f>
        <v>288.618541718995</v>
      </c>
      <c r="F27" s="29" t="n">
        <f aca="false">E27+Income_Statement!F24-Income_Statement!F25</f>
        <v>393.020689422845</v>
      </c>
      <c r="G27" s="29" t="n">
        <f aca="false">F27+Income_Statement!G24-Income_Statement!G25</f>
        <v>501.84157238469</v>
      </c>
    </row>
    <row r="28" customFormat="false" ht="15" hidden="false" customHeight="false" outlineLevel="0" collapsed="false">
      <c r="B28" s="11" t="s">
        <v>236</v>
      </c>
      <c r="C28" s="38" t="n">
        <f aca="false">C25+C26+C27</f>
        <v>2166.00191607125</v>
      </c>
      <c r="D28" s="38" t="n">
        <f aca="false">D25+D26+D27</f>
        <v>2262.17786946423</v>
      </c>
      <c r="E28" s="38" t="n">
        <f aca="false">E25+E26+E27</f>
        <v>2362.36854171899</v>
      </c>
      <c r="F28" s="38" t="n">
        <f aca="false">F25+F26+F27</f>
        <v>2466.77068942285</v>
      </c>
      <c r="G28" s="38" t="n">
        <f aca="false">G25+G26+G27</f>
        <v>2575.59157238469</v>
      </c>
    </row>
    <row r="29" customFormat="false" ht="15" hidden="false" customHeight="false" outlineLevel="0" collapsed="false">
      <c r="B29" s="11" t="s">
        <v>237</v>
      </c>
      <c r="C29" s="39" t="n">
        <f aca="false">C24+C28</f>
        <v>11641.060606875</v>
      </c>
      <c r="D29" s="39" t="n">
        <f aca="false">D24+D28</f>
        <v>12027.3487503506</v>
      </c>
      <c r="E29" s="39" t="n">
        <f aca="false">E24+E28</f>
        <v>12432.6458044389</v>
      </c>
      <c r="F29" s="39" t="n">
        <f aca="false">F24+F28</f>
        <v>12857.9619026735</v>
      </c>
      <c r="G29" s="39" t="n">
        <f aca="false">G24+G28</f>
        <v>13304.3631783563</v>
      </c>
    </row>
    <row r="30" customFormat="false" ht="15" hidden="false" customHeight="false" outlineLevel="0" collapsed="false">
      <c r="B30" s="11" t="s">
        <v>238</v>
      </c>
      <c r="C30" s="42" t="n">
        <f aca="false">C18-C29</f>
        <v>0</v>
      </c>
      <c r="D30" s="42" t="n">
        <f aca="false">D18-D29</f>
        <v>0</v>
      </c>
      <c r="E30" s="42" t="n">
        <f aca="false">E18-E29</f>
        <v>0</v>
      </c>
      <c r="F30" s="42" t="n">
        <f aca="false">F18-F29</f>
        <v>0</v>
      </c>
      <c r="G30" s="42" t="n">
        <f aca="false">G18-G29</f>
        <v>0</v>
      </c>
    </row>
    <row r="31" customFormat="false" ht="15" hidden="false" customHeight="false" outlineLevel="0" collapsed="false">
      <c r="B31" s="11" t="s">
        <v>239</v>
      </c>
      <c r="C31" s="43" t="str">
        <f aca="false">IF(ABS(C30)&lt;1,"TRUE","FALSE")</f>
        <v>TRUE</v>
      </c>
      <c r="D31" s="43" t="str">
        <f aca="false">IF(ABS(D30)&lt;1,"TRUE","FALSE")</f>
        <v>TRUE</v>
      </c>
      <c r="E31" s="43" t="str">
        <f aca="false">IF(ABS(E30)&lt;1,"TRUE","FALSE")</f>
        <v>TRUE</v>
      </c>
      <c r="F31" s="43" t="str">
        <f aca="false">IF(ABS(F30)&lt;1,"TRUE","FALSE")</f>
        <v>TRUE</v>
      </c>
      <c r="G31" s="43" t="str">
        <f aca="false">IF(ABS(G30)&lt;1,"TRUE","FALSE")</f>
        <v>TRUE</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2026-05-15T18:53:54Z</dcterms:created>
  <dc:creator>openpyxl</dc:creator>
  <dc:description/>
  <dc:language>en-GB</dc:language>
  <cp:lastModifiedBy/>
  <dcterms:modified xsi:type="dcterms:W3CDTF">2026-05-15T18:53:54Z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