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Rent_Roll" sheetId="3" state="visible" r:id="rId5"/>
    <sheet name="Opex" sheetId="4" state="visible" r:id="rId6"/>
    <sheet name="Development" sheetId="5" state="visible" r:id="rId7"/>
    <sheet name="Debt_Schedule" sheetId="6" state="visible" r:id="rId8"/>
    <sheet name="Cash_Flow" sheetId="7" state="visible" r:id="rId9"/>
    <sheet name="Returns" sheetId="8" state="visible" r:id="rId10"/>
    <sheet name="Checks" sheetId="9" state="visible" r:id="rId11"/>
    <sheet name="Disclaimer" sheetId="10" state="visible" r:id="rId12"/>
  </sheets>
  <definedNames>
    <definedName function="false" hidden="false" name="Academic_Occ_Stab" vbProcedure="false">Assumptions!$C$17</definedName>
    <definedName function="false" hidden="false" name="Academic_Occ_Y1" vbProcedure="false">Assumptions!$C$16</definedName>
    <definedName function="false" hidden="false" name="Academic_Rent_E" vbProcedure="false">Assumptions!$C$11</definedName>
    <definedName function="false" hidden="false" name="Academic_Rent_S" vbProcedure="false">Assumptions!$C$12</definedName>
    <definedName function="false" hidden="false" name="Academic_Weeks" vbProcedure="false">Assumptions!$C$14</definedName>
    <definedName function="false" hidden="false" name="Admin_Pct" vbProcedure="false">Assumptions!$C$30</definedName>
    <definedName function="false" hidden="false" name="Amort_Yrs" vbProcedure="false">Assumptions!$C$39</definedName>
    <definedName function="false" hidden="false" name="Ancillary_Growth" vbProcedure="false">Assumptions!$C$21</definedName>
    <definedName function="false" hidden="false" name="Ancillary_Per_Bed" vbProcedure="false">Assumptions!$C$20</definedName>
    <definedName function="false" hidden="false" name="Build_Cost" vbProcedure="false">Assumptions!$C$33</definedName>
    <definedName function="false" hidden="false" name="CF_Equity_IRR" vbProcedure="false">Cash_Flow!$C$19</definedName>
    <definedName function="false" hidden="false" name="CF_NetExit" vbProcedure="false">Cash_Flow!$L$15</definedName>
    <definedName function="false" hidden="false" name="CF_PostOp_Y1" vbProcedure="false">Cash_Flow!$C$10</definedName>
    <definedName function="false" hidden="false" name="CF_PostOp_Y10" vbProcedure="false">Cash_Flow!$L$10</definedName>
    <definedName function="false" hidden="false" name="CF_PostOp_Y2" vbProcedure="false">Cash_Flow!$D$10</definedName>
    <definedName function="false" hidden="false" name="CF_PostOp_Y3" vbProcedure="false">Cash_Flow!$E$10</definedName>
    <definedName function="false" hidden="false" name="CF_PostOp_Y4" vbProcedure="false">Cash_Flow!$F$10</definedName>
    <definedName function="false" hidden="false" name="CF_PostOp_Y5" vbProcedure="false">Cash_Flow!$G$10</definedName>
    <definedName function="false" hidden="false" name="CF_PostOp_Y6" vbProcedure="false">Cash_Flow!$H$10</definedName>
    <definedName function="false" hidden="false" name="CF_PostOp_Y7" vbProcedure="false">Cash_Flow!$I$10</definedName>
    <definedName function="false" hidden="false" name="CF_PostOp_Y8" vbProcedure="false">Cash_Flow!$J$10</definedName>
    <definedName function="false" hidden="false" name="CF_PostOp_Y9" vbProcedure="false">Cash_Flow!$K$10</definedName>
    <definedName function="false" hidden="false" name="CF_Unlev_IRR" vbProcedure="false">Cash_Flow!$C$20</definedName>
    <definedName function="false" hidden="false" name="Constr_Yrs" vbProcedure="false">Assumptions!$C$36</definedName>
    <definedName function="false" hidden="false" name="Contingency" vbProcedure="false">Assumptions!$C$35</definedName>
    <definedName function="false" hidden="false" name="Dev_Debt" vbProcedure="false">Development!$C$16</definedName>
    <definedName function="false" hidden="false" name="Dev_Debt_Pre" vbProcedure="false">Development!$C$11</definedName>
    <definedName function="false" hidden="false" name="Dev_Equity" vbProcedure="false">Development!$C$17</definedName>
    <definedName function="false" hidden="false" name="Dev_IDC" vbProcedure="false">Development!$C$12</definedName>
    <definedName function="false" hidden="false" name="Dev_Sub" vbProcedure="false">Development!$C$9</definedName>
    <definedName function="false" hidden="false" name="Dev_TDC" vbProcedure="false">Development!$C$14</definedName>
    <definedName function="false" hidden="false" name="Discount_Rate" vbProcedure="false">Assumptions!$C$43</definedName>
    <definedName function="false" hidden="false" name="DS_Closing_Y1" vbProcedure="false">Debt_Schedule!$C$11</definedName>
    <definedName function="false" hidden="false" name="DS_Closing_Y10" vbProcedure="false">Debt_Schedule!$L$11</definedName>
    <definedName function="false" hidden="false" name="DS_Closing_Y2" vbProcedure="false">Debt_Schedule!$D$11</definedName>
    <definedName function="false" hidden="false" name="DS_Closing_Y3" vbProcedure="false">Debt_Schedule!$E$11</definedName>
    <definedName function="false" hidden="false" name="DS_Closing_Y4" vbProcedure="false">Debt_Schedule!$F$11</definedName>
    <definedName function="false" hidden="false" name="DS_Closing_Y5" vbProcedure="false">Debt_Schedule!$G$11</definedName>
    <definedName function="false" hidden="false" name="DS_Closing_Y6" vbProcedure="false">Debt_Schedule!$H$11</definedName>
    <definedName function="false" hidden="false" name="DS_Closing_Y7" vbProcedure="false">Debt_Schedule!$I$11</definedName>
    <definedName function="false" hidden="false" name="DS_Closing_Y8" vbProcedure="false">Debt_Schedule!$J$11</definedName>
    <definedName function="false" hidden="false" name="DS_Closing_Y9" vbProcedure="false">Debt_Schedule!$K$11</definedName>
    <definedName function="false" hidden="false" name="DS_Interest_Y1" vbProcedure="false">Debt_Schedule!$C$8</definedName>
    <definedName function="false" hidden="false" name="DS_Interest_Y10" vbProcedure="false">Debt_Schedule!$L$8</definedName>
    <definedName function="false" hidden="false" name="DS_Interest_Y2" vbProcedure="false">Debt_Schedule!$D$8</definedName>
    <definedName function="false" hidden="false" name="DS_Interest_Y3" vbProcedure="false">Debt_Schedule!$E$8</definedName>
    <definedName function="false" hidden="false" name="DS_Interest_Y4" vbProcedure="false">Debt_Schedule!$F$8</definedName>
    <definedName function="false" hidden="false" name="DS_Interest_Y5" vbProcedure="false">Debt_Schedule!$G$8</definedName>
    <definedName function="false" hidden="false" name="DS_Interest_Y6" vbProcedure="false">Debt_Schedule!$H$8</definedName>
    <definedName function="false" hidden="false" name="DS_Interest_Y7" vbProcedure="false">Debt_Schedule!$I$8</definedName>
    <definedName function="false" hidden="false" name="DS_Interest_Y8" vbProcedure="false">Debt_Schedule!$J$8</definedName>
    <definedName function="false" hidden="false" name="DS_Interest_Y9" vbProcedure="false">Debt_Schedule!$K$8</definedName>
    <definedName function="false" hidden="false" name="DS_Principal_Y1" vbProcedure="false">Debt_Schedule!$C$9</definedName>
    <definedName function="false" hidden="false" name="DS_Principal_Y10" vbProcedure="false">Debt_Schedule!$L$9</definedName>
    <definedName function="false" hidden="false" name="DS_Principal_Y2" vbProcedure="false">Debt_Schedule!$D$9</definedName>
    <definedName function="false" hidden="false" name="DS_Principal_Y3" vbProcedure="false">Debt_Schedule!$E$9</definedName>
    <definedName function="false" hidden="false" name="DS_Principal_Y4" vbProcedure="false">Debt_Schedule!$F$9</definedName>
    <definedName function="false" hidden="false" name="DS_Principal_Y5" vbProcedure="false">Debt_Schedule!$G$9</definedName>
    <definedName function="false" hidden="false" name="DS_Principal_Y6" vbProcedure="false">Debt_Schedule!$H$9</definedName>
    <definedName function="false" hidden="false" name="DS_Principal_Y7" vbProcedure="false">Debt_Schedule!$I$9</definedName>
    <definedName function="false" hidden="false" name="DS_Principal_Y8" vbProcedure="false">Debt_Schedule!$J$9</definedName>
    <definedName function="false" hidden="false" name="DS_Principal_Y9" vbProcedure="false">Debt_Schedule!$K$9</definedName>
    <definedName function="false" hidden="false" name="Ensuite_Beds" vbProcedure="false">Assumptions!$C$9</definedName>
    <definedName function="false" hidden="false" name="Ensuite_Pct" vbProcedure="false">Assumptions!$C$8</definedName>
    <definedName function="false" hidden="false" name="Exit_Cap" vbProcedure="false">Assumptions!$C$41</definedName>
    <definedName function="false" hidden="false" name="Insurance_Pct" vbProcedure="false">Assumptions!$C$26</definedName>
    <definedName function="false" hidden="false" name="Interest_Rate" vbProcedure="false">Assumptions!$C$37</definedName>
    <definedName function="false" hidden="false" name="Land_Cost" vbProcedure="false">Assumptions!$C$32</definedName>
    <definedName function="false" hidden="false" name="LTV" vbProcedure="false">Assumptions!$C$38</definedName>
    <definedName function="false" hidden="false" name="Maintenance_Pct" vbProcedure="false">Assumptions!$C$23</definedName>
    <definedName function="false" hidden="false" name="Marketing_Pct" vbProcedure="false">Assumptions!$C$29</definedName>
    <definedName function="false" hidden="false" name="Mgmt_Fee_Pct" vbProcedure="false">Assumptions!$C$22</definedName>
    <definedName function="false" hidden="false" name="Opex_Escal" vbProcedure="false">Assumptions!$C$31</definedName>
    <definedName function="false" hidden="false" name="Opex_NOI_Y1" vbProcedure="false">Opex!$C$19</definedName>
    <definedName function="false" hidden="false" name="Opex_NOI_Y10" vbProcedure="false">Opex!$L$19</definedName>
    <definedName function="false" hidden="false" name="Opex_NOI_Y2" vbProcedure="false">Opex!$D$19</definedName>
    <definedName function="false" hidden="false" name="Opex_NOI_Y3" vbProcedure="false">Opex!$E$19</definedName>
    <definedName function="false" hidden="false" name="Opex_NOI_Y4" vbProcedure="false">Opex!$F$19</definedName>
    <definedName function="false" hidden="false" name="Opex_NOI_Y5" vbProcedure="false">Opex!$G$19</definedName>
    <definedName function="false" hidden="false" name="Opex_NOI_Y6" vbProcedure="false">Opex!$H$19</definedName>
    <definedName function="false" hidden="false" name="Opex_NOI_Y7" vbProcedure="false">Opex!$I$19</definedName>
    <definedName function="false" hidden="false" name="Opex_NOI_Y8" vbProcedure="false">Opex!$J$19</definedName>
    <definedName function="false" hidden="false" name="Opex_NOI_Y9" vbProcedure="false">Opex!$K$19</definedName>
    <definedName function="false" hidden="false" name="Prof_Fees" vbProcedure="false">Assumptions!$C$34</definedName>
    <definedName function="false" hidden="false" name="Rates_Pct" vbProcedure="false">Assumptions!$C$27</definedName>
    <definedName function="false" hidden="false" name="Rent_Growth" vbProcedure="false">Assumptions!$C$13</definedName>
    <definedName function="false" hidden="false" name="RR_Gross_Rev_Y1" vbProcedure="false">Rent_Roll!$C$21</definedName>
    <definedName function="false" hidden="false" name="RR_Gross_Rev_Y10" vbProcedure="false">Rent_Roll!$L$21</definedName>
    <definedName function="false" hidden="false" name="RR_Gross_Rev_Y2" vbProcedure="false">Rent_Roll!$D$21</definedName>
    <definedName function="false" hidden="false" name="RR_Gross_Rev_Y3" vbProcedure="false">Rent_Roll!$E$21</definedName>
    <definedName function="false" hidden="false" name="RR_Gross_Rev_Y4" vbProcedure="false">Rent_Roll!$F$21</definedName>
    <definedName function="false" hidden="false" name="RR_Gross_Rev_Y5" vbProcedure="false">Rent_Roll!$G$21</definedName>
    <definedName function="false" hidden="false" name="RR_Gross_Rev_Y6" vbProcedure="false">Rent_Roll!$H$21</definedName>
    <definedName function="false" hidden="false" name="RR_Gross_Rev_Y7" vbProcedure="false">Rent_Roll!$I$21</definedName>
    <definedName function="false" hidden="false" name="RR_Gross_Rev_Y8" vbProcedure="false">Rent_Roll!$J$21</definedName>
    <definedName function="false" hidden="false" name="RR_Gross_Rev_Y9" vbProcedure="false">Rent_Roll!$K$21</definedName>
    <definedName function="false" hidden="false" name="Security_Pct" vbProcedure="false">Assumptions!$C$28</definedName>
    <definedName function="false" hidden="false" name="Selling_Costs" vbProcedure="false">Assumptions!$C$42</definedName>
    <definedName function="false" hidden="false" name="Studio_Beds" vbProcedure="false">Assumptions!$C$10</definedName>
    <definedName function="false" hidden="false" name="Summer_Disc_Pct" vbProcedure="false">Assumptions!$C$19</definedName>
    <definedName function="false" hidden="false" name="Summer_Occ" vbProcedure="false">Assumptions!$C$18</definedName>
    <definedName function="false" hidden="false" name="Summer_Weeks" vbProcedure="false">Assumptions!$C$15</definedName>
    <definedName function="false" hidden="false" name="Tax_Rate" vbProcedure="false">Assumptions!$C$40</definedName>
    <definedName function="false" hidden="false" name="Total_Beds" vbProcedure="false">Assumptions!$C$7</definedName>
    <definedName function="false" hidden="false" name="Utility_Budget_Pct" vbProcedure="false">Assumptions!$C$24</definedName>
    <definedName function="false" hidden="false" name="Utility_Fixed_Pct" vbProcedure="false">Assumptions!$C$25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<sst xmlns="http://schemas.openxmlformats.org/spreadsheetml/2006/main" count="367" uniqueCount="251">
  <si>
    <t xml:space="preserve">UK Purpose-Built Student Accommodation</t>
  </si>
  <si>
    <t xml:space="preserve">FINAMODEL.com</t>
  </si>
  <si>
    <t xml:space="preserve">Project Finance Model — 350 Beds, UK Regional</t>
  </si>
  <si>
    <t xml:space="preserve">Key Statistics</t>
  </si>
  <si>
    <t xml:space="preserve">Total Beds</t>
  </si>
  <si>
    <t xml:space="preserve">Total Dev Cost</t>
  </si>
  <si>
    <t xml:space="preserve">LTV</t>
  </si>
  <si>
    <t xml:space="preserve">Equity IRR</t>
  </si>
  <si>
    <t xml:space="preserve">Min DSCR</t>
  </si>
  <si>
    <t xml:space="preserve">Model Structure</t>
  </si>
  <si>
    <t xml:space="preserve">Cover</t>
  </si>
  <si>
    <t xml:space="preserve">Title and navigation</t>
  </si>
  <si>
    <t xml:space="preserve">Assumptions</t>
  </si>
  <si>
    <t xml:space="preserve">Model parameters</t>
  </si>
  <si>
    <t xml:space="preserve">Rent_Roll</t>
  </si>
  <si>
    <t xml:space="preserve">Revenue projections</t>
  </si>
  <si>
    <t xml:space="preserve">Opex</t>
  </si>
  <si>
    <t xml:space="preserve">Operating expenses &amp; NOI</t>
  </si>
  <si>
    <t xml:space="preserve">Development</t>
  </si>
  <si>
    <t xml:space="preserve">Development cost build</t>
  </si>
  <si>
    <t xml:space="preserve">Debt_Schedule</t>
  </si>
  <si>
    <t xml:space="preserve">Senior debt amortisation</t>
  </si>
  <si>
    <t xml:space="preserve">Cash_Flow</t>
  </si>
  <si>
    <t xml:space="preserve">Equity cash flows &amp; IRR</t>
  </si>
  <si>
    <t xml:space="preserve">Returns</t>
  </si>
  <si>
    <t xml:space="preserve">Key return metrics</t>
  </si>
  <si>
    <t xml:space="preserve">Checks</t>
  </si>
  <si>
    <t xml:space="preserve">Model integrity checks</t>
  </si>
  <si>
    <t xml:space="preserve">About this model</t>
  </si>
  <si>
    <t xml:space="preserve">Model student housing development including lease-up risk, operating margins, and exit valuation so you see the true development return, not pro forma day-one value. The model spans 2-year construction and 10-year operating hold. Revenue is all rental income: academic lets (44 weeks per year at 90-98% occupancy) and summer lets (8 weeks at 55-65% of academic rent, 60% occupancy). Revenue grows 3-5% annually. Operating expenses (29% of gross revenue at stabilisation) include management fee (5%), utilities (7%, split fixed/variable), maintenance, insurance, business rates, and staffing.
Development cost is Â£85,000/bed (land, construction, fees, contingency) plus capitalised interest (Â£1.1M on a Â£17.5M debt draw over 2 years). Debt is senior (55% LTV, 6.5%, 25-year amortisation). The model calculates NOI yield-on-cost (NOI Y3 / total development cost) and compares to exit cap rate (5.25%) to show development spreadâthe return for bearing construction and lease-up risk. DSCR is typically 1.25-1.45x in stabilised years; Yield on Cost targets 14-18% equity IRR for institutional sponsors. Checks ensure bed count sums (322 en-suite + 28 studio = 350), utilities scale correctly with occupancy, and exit value uses forward NOI (Year 11 annualised NOI / cap rate).
Essential for student housing developers, pension fund allocators (e.g., CPPIB, GIC), and REITs evaluating regional UK acquisition vs development. Includes utility cost inflation and weekly vs monthly rent payment cycles.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</si>
  <si>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</si>
  <si>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</si>
  <si>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</si>
  <si>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</si>
  <si>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All model inputs — edit column C only</t>
  </si>
  <si>
    <t xml:space="preserve">Parameter</t>
  </si>
  <si>
    <t xml:space="preserve">Value</t>
  </si>
  <si>
    <t xml:space="preserve">Unit</t>
  </si>
  <si>
    <t xml:space="preserve">Notes</t>
  </si>
  <si>
    <t xml:space="preserve">Bed Mix</t>
  </si>
  <si>
    <t xml:space="preserve">beds</t>
  </si>
  <si>
    <t xml:space="preserve">Total bed count</t>
  </si>
  <si>
    <t xml:space="preserve">En-suite %</t>
  </si>
  <si>
    <t xml:space="preserve">%</t>
  </si>
  <si>
    <t xml:space="preserve">En-suite as % of total</t>
  </si>
  <si>
    <t xml:space="preserve">En-suite Beds</t>
  </si>
  <si>
    <t xml:space="preserve">Named range -&gt; $C$9</t>
  </si>
  <si>
    <t xml:space="preserve">Studio Beds</t>
  </si>
  <si>
    <t xml:space="preserve">Forces sum=Total_Beds</t>
  </si>
  <si>
    <t xml:space="preserve">Academic Rent E/wk</t>
  </si>
  <si>
    <t xml:space="preserve">£/wk</t>
  </si>
  <si>
    <t xml:space="preserve">En-suite Year 1 weekly rent</t>
  </si>
  <si>
    <t xml:space="preserve">Academic Rent S/wk</t>
  </si>
  <si>
    <t xml:space="preserve">Studio Year 1 weekly rent</t>
  </si>
  <si>
    <t xml:space="preserve">Rent Growth</t>
  </si>
  <si>
    <t xml:space="preserve">%/yr</t>
  </si>
  <si>
    <t xml:space="preserve">Annual rent escalation</t>
  </si>
  <si>
    <t xml:space="preserve">Academic Weeks</t>
  </si>
  <si>
    <t xml:space="preserve">weeks</t>
  </si>
  <si>
    <t xml:space="preserve">Academic let weeks per year</t>
  </si>
  <si>
    <t xml:space="preserve">Summer Weeks</t>
  </si>
  <si>
    <t xml:space="preserve">Summer let weeks per year</t>
  </si>
  <si>
    <t xml:space="preserve">Academic Occ Y1</t>
  </si>
  <si>
    <t xml:space="preserve">Year 1 occupancy (lease-up)</t>
  </si>
  <si>
    <t xml:space="preserve">Academic Occ Stab</t>
  </si>
  <si>
    <t xml:space="preserve">Stabilised occupancy Y2+</t>
  </si>
  <si>
    <t xml:space="preserve">Summer Occ</t>
  </si>
  <si>
    <t xml:space="preserve">Summer occupancy all years</t>
  </si>
  <si>
    <t xml:space="preserve">Summer Disc %</t>
  </si>
  <si>
    <t xml:space="preserve">Summer rent as % of blended academic</t>
  </si>
  <si>
    <t xml:space="preserve">Ancillary/Bed/Yr</t>
  </si>
  <si>
    <t xml:space="preserve">£/bed/yr</t>
  </si>
  <si>
    <t xml:space="preserve">Laundry, parking, amenity</t>
  </si>
  <si>
    <t xml:space="preserve">Ancillary Growth</t>
  </si>
  <si>
    <t xml:space="preserve">CPI-linked ancillary growth</t>
  </si>
  <si>
    <t xml:space="preserve">Mgmt Fee %</t>
  </si>
  <si>
    <t xml:space="preserve">% of rev</t>
  </si>
  <si>
    <t xml:space="preserve">Operator management fee</t>
  </si>
  <si>
    <t xml:space="preserve">Maintenance %</t>
  </si>
  <si>
    <t xml:space="preserve">Routine maintenance</t>
  </si>
  <si>
    <t xml:space="preserve">Utility Budget %</t>
  </si>
  <si>
    <t xml:space="preserve">Total utility budget</t>
  </si>
  <si>
    <t xml:space="preserve">Utility Fixed %</t>
  </si>
  <si>
    <t xml:space="preserve">Fixed share of utility cost</t>
  </si>
  <si>
    <t xml:space="preserve">Insurance %</t>
  </si>
  <si>
    <t xml:space="preserve">Buildings + contents</t>
  </si>
  <si>
    <t xml:space="preserve">Rates %</t>
  </si>
  <si>
    <t xml:space="preserve">Business rates</t>
  </si>
  <si>
    <t xml:space="preserve">Security %</t>
  </si>
  <si>
    <t xml:space="preserve">Security &amp; staffing</t>
  </si>
  <si>
    <t xml:space="preserve">Marketing %</t>
  </si>
  <si>
    <t xml:space="preserve">Marketing &amp; lettings</t>
  </si>
  <si>
    <t xml:space="preserve">Admin %</t>
  </si>
  <si>
    <t xml:space="preserve">Admin &amp; compliance</t>
  </si>
  <si>
    <t xml:space="preserve">Opex Escalation</t>
  </si>
  <si>
    <t xml:space="preserve">CPI-linked opex escalation</t>
  </si>
  <si>
    <t xml:space="preserve">Land Cost</t>
  </si>
  <si>
    <t xml:space="preserve">£</t>
  </si>
  <si>
    <t xml:space="preserve">Total land acquisition</t>
  </si>
  <si>
    <t xml:space="preserve">Build Cost</t>
  </si>
  <si>
    <t xml:space="preserve">Hard construction costs</t>
  </si>
  <si>
    <t xml:space="preserve">Professional Fees</t>
  </si>
  <si>
    <t xml:space="preserve">Professional fees (10% of build)</t>
  </si>
  <si>
    <t xml:space="preserve">Contingency</t>
  </si>
  <si>
    <t xml:space="preserve">5% developer contingency</t>
  </si>
  <si>
    <t xml:space="preserve">Construction Years</t>
  </si>
  <si>
    <t xml:space="preserve">years</t>
  </si>
  <si>
    <t xml:space="preserve">Construction period</t>
  </si>
  <si>
    <t xml:space="preserve">Interest Rate</t>
  </si>
  <si>
    <t xml:space="preserve">All-in interest rate</t>
  </si>
  <si>
    <t xml:space="preserve">Loan to (pre-IDC) dev cost</t>
  </si>
  <si>
    <t xml:space="preserve">Amortisation Years</t>
  </si>
  <si>
    <t xml:space="preserve">Loan amortisation years</t>
  </si>
  <si>
    <t xml:space="preserve">Tax Rate</t>
  </si>
  <si>
    <t xml:space="preserve">UK corporate tax rate</t>
  </si>
  <si>
    <t xml:space="preserve">Exit Cap Rate</t>
  </si>
  <si>
    <t xml:space="preserve">Exit yield</t>
  </si>
  <si>
    <t xml:space="preserve">Selling Costs</t>
  </si>
  <si>
    <t xml:space="preserve">% of exit</t>
  </si>
  <si>
    <t xml:space="preserve">Agent + legal on disposal</t>
  </si>
  <si>
    <t xml:space="preserve">Discount Rate</t>
  </si>
  <si>
    <t xml:space="preserve">Unlevered IRR hurdle / NPV</t>
  </si>
  <si>
    <t xml:space="preserve">Rent Roll</t>
  </si>
  <si>
    <t xml:space="preserve">Year</t>
  </si>
  <si>
    <t xml:space="preserve">Bed Mix &amp; Letting Parameters</t>
  </si>
  <si>
    <t xml:space="preserve">Academic Wks</t>
  </si>
  <si>
    <t xml:space="preserve">Summer Wks</t>
  </si>
  <si>
    <t xml:space="preserve">Academic Occ</t>
  </si>
  <si>
    <t xml:space="preserve">Rent Rates (£/wk)</t>
  </si>
  <si>
    <t xml:space="preserve">Rent E/wk</t>
  </si>
  <si>
    <t xml:space="preserve">Rent S/wk</t>
  </si>
  <si>
    <t xml:space="preserve">Summer Rent/wk</t>
  </si>
  <si>
    <t xml:space="preserve">Revenue Build</t>
  </si>
  <si>
    <t xml:space="preserve">Academic Rev E</t>
  </si>
  <si>
    <t xml:space="preserve">Academic Rev S</t>
  </si>
  <si>
    <t xml:space="preserve">Summer Revenue</t>
  </si>
  <si>
    <t xml:space="preserve">Ancillary Rev</t>
  </si>
  <si>
    <t xml:space="preserve">GROSS REVENUE</t>
  </si>
  <si>
    <t xml:space="preserve">Operating Expenses</t>
  </si>
  <si>
    <t xml:space="preserve">Revenue Reference</t>
  </si>
  <si>
    <t xml:space="preserve">Gross Revenue</t>
  </si>
  <si>
    <t xml:space="preserve">Management Fee</t>
  </si>
  <si>
    <t xml:space="preserve">Maintenance</t>
  </si>
  <si>
    <t xml:space="preserve">Utility (Fixed)</t>
  </si>
  <si>
    <t xml:space="preserve">Utility (Variable)</t>
  </si>
  <si>
    <t xml:space="preserve">Insurance</t>
  </si>
  <si>
    <t xml:space="preserve">Business Rates</t>
  </si>
  <si>
    <t xml:space="preserve">Security/Staff</t>
  </si>
  <si>
    <t xml:space="preserve">Marketing</t>
  </si>
  <si>
    <t xml:space="preserve">Admin</t>
  </si>
  <si>
    <t xml:space="preserve">Totals</t>
  </si>
  <si>
    <t xml:space="preserve">TOTAL OPEX</t>
  </si>
  <si>
    <t xml:space="preserve">Net Operating Income</t>
  </si>
  <si>
    <t xml:space="preserve">NOI</t>
  </si>
  <si>
    <t xml:space="preserve">Development Cost Build</t>
  </si>
  <si>
    <t xml:space="preserve">Single-column cost summary — no time periods</t>
  </si>
  <si>
    <t xml:space="preserve">Hard Costs</t>
  </si>
  <si>
    <t xml:space="preserve">Amount (£)</t>
  </si>
  <si>
    <t xml:space="preserve">10% of build cost</t>
  </si>
  <si>
    <t xml:space="preserve">Sub-total (ex-IDC)</t>
  </si>
  <si>
    <t xml:space="preserve">Excludes interest during construction</t>
  </si>
  <si>
    <t xml:space="preserve">Debt Sizing</t>
  </si>
  <si>
    <t xml:space="preserve">Pre-IDC Debt</t>
  </si>
  <si>
    <t xml:space="preserve">Senior debt on pre-IDC cost</t>
  </si>
  <si>
    <t xml:space="preserve">Capitalised IDC</t>
  </si>
  <si>
    <t xml:space="preserve">Avg balance x rate x construction period</t>
  </si>
  <si>
    <t xml:space="preserve">Total Development Cost</t>
  </si>
  <si>
    <t xml:space="preserve">TOTAL DEV COST</t>
  </si>
  <si>
    <t xml:space="preserve">Sub-total + IDC</t>
  </si>
  <si>
    <t xml:space="preserve">Sources of Finance</t>
  </si>
  <si>
    <t xml:space="preserve">Senior Debt</t>
  </si>
  <si>
    <t xml:space="preserve">LTV applied to total dev cost incl IDC</t>
  </si>
  <si>
    <t xml:space="preserve">Equity Required</t>
  </si>
  <si>
    <t xml:space="preserve">Balancing equity</t>
  </si>
  <si>
    <t xml:space="preserve">Check: Sources=Uses</t>
  </si>
  <si>
    <t xml:space="preserve">Must equal zero</t>
  </si>
  <si>
    <t xml:space="preserve">Debt Schedule</t>
  </si>
  <si>
    <t xml:space="preserve">Period Counter</t>
  </si>
  <si>
    <t xml:space="preserve">Period (in loan)</t>
  </si>
  <si>
    <t xml:space="preserve">Debt Balance Walk</t>
  </si>
  <si>
    <t xml:space="preserve">Opening Balance</t>
  </si>
  <si>
    <t xml:space="preserve">Interest</t>
  </si>
  <si>
    <t xml:space="preserve">Principal</t>
  </si>
  <si>
    <t xml:space="preserve">Total Debt Service</t>
  </si>
  <si>
    <t xml:space="preserve">Closing Balance</t>
  </si>
  <si>
    <t xml:space="preserve">DSCR Check</t>
  </si>
  <si>
    <t xml:space="preserve">NOI (ref)</t>
  </si>
  <si>
    <t xml:space="preserve">DSCR</t>
  </si>
  <si>
    <t xml:space="preserve">Cash Flow</t>
  </si>
  <si>
    <t xml:space="preserve">Yr 0</t>
  </si>
  <si>
    <t xml:space="preserve">Operating Cash Flow</t>
  </si>
  <si>
    <t xml:space="preserve">Pre-tax CF</t>
  </si>
  <si>
    <t xml:space="preserve">Tax</t>
  </si>
  <si>
    <t xml:space="preserve">Post-tax Op CF</t>
  </si>
  <si>
    <t xml:space="preserve">Exit (Year 10 Only)</t>
  </si>
  <si>
    <t xml:space="preserve">Exit Value</t>
  </si>
  <si>
    <t xml:space="preserve">Loan Repayment</t>
  </si>
  <si>
    <t xml:space="preserve">Net Exit Proceeds</t>
  </si>
  <si>
    <t xml:space="preserve">Equity Cash Flow &amp; IRR</t>
  </si>
  <si>
    <t xml:space="preserve">Equity CF</t>
  </si>
  <si>
    <t xml:space="preserve">Unlevered IRR</t>
  </si>
  <si>
    <t xml:space="preserve">Unlev CF (helper)</t>
  </si>
  <si>
    <t xml:space="preserve">Returns Summary</t>
  </si>
  <si>
    <t xml:space="preserve">Key metrics — single-column</t>
  </si>
  <si>
    <t xml:space="preserve">Development Summary</t>
  </si>
  <si>
    <t xml:space="preserve">Dev Cost/Bed</t>
  </si>
  <si>
    <t xml:space="preserve">Equity Invested</t>
  </si>
  <si>
    <t xml:space="preserve">Income Metrics</t>
  </si>
  <si>
    <t xml:space="preserve">Year 1 NOI</t>
  </si>
  <si>
    <t xml:space="preserve">Stabilised NOI (Y3)</t>
  </si>
  <si>
    <t xml:space="preserve">Yield on Cost</t>
  </si>
  <si>
    <t xml:space="preserve">Dev Spread</t>
  </si>
  <si>
    <t xml:space="preserve">Exit</t>
  </si>
  <si>
    <t xml:space="preserve">Exit Value (Gross)</t>
  </si>
  <si>
    <t xml:space="preserve">Net Proceeds</t>
  </si>
  <si>
    <t xml:space="preserve">Return Metrics</t>
  </si>
  <si>
    <t xml:space="preserve">Equity Multiple</t>
  </si>
  <si>
    <t xml:space="preserve">NOI Margin (Y3)</t>
  </si>
  <si>
    <t xml:space="preserve">NPV Analysis</t>
  </si>
  <si>
    <t xml:space="preserve">Unlevered NPV</t>
  </si>
  <si>
    <t xml:space="preserve">Model Integrity Checks</t>
  </si>
  <si>
    <t xml:space="preserve">All checks must show PASS before use</t>
  </si>
  <si>
    <t xml:space="preserve">Check</t>
  </si>
  <si>
    <t xml:space="preserve">Actual</t>
  </si>
  <si>
    <t xml:space="preserve">Expected</t>
  </si>
  <si>
    <t xml:space="preserve">Result</t>
  </si>
  <si>
    <t xml:space="preserve">Bed Count</t>
  </si>
  <si>
    <t xml:space="preserve">Dev Sources=Uses</t>
  </si>
  <si>
    <t xml:space="preserve">NOI Margin Y3</t>
  </si>
  <si>
    <t xml:space="preserve">55%-75%</t>
  </si>
  <si>
    <t xml:space="preserve">Exit &gt; TDC</t>
  </si>
  <si>
    <t xml:space="preserve">Equity IRR Numeric</t>
  </si>
  <si>
    <t xml:space="preserve">TRUE</t>
  </si>
  <si>
    <t xml:space="preserve">Min Cash &gt;=0</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</si>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</sst>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7">
    <numFmt numFmtId="164" formatCode="General"/>
    <numFmt numFmtId="165" formatCode="#,##0.00"/>
    <numFmt numFmtId="166" formatCode="\£#,##0.00"/>
    <numFmt numFmtId="167" formatCode="0.00%"/>
    <numFmt numFmtId="168" formatCode="0.00\x"/>
    <numFmt numFmtId="169" formatCode="0"/>
    <numFmt numFmtId="170" formatCode="@"/>
  </numFmts>
  <fonts count="24">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i val="true"/>
      <sz val="11"/>
      <color rgb="FF808080"/>
      <name val="Arial"/>
      <family val="0"/>
      <charset val="1"/>
    </font>
    <font>
      <b val="true"/>
      <sz val="11"/>
      <color theme="3"/>
      <name val="Arial"/>
      <family val="0"/>
      <charset val="1"/>
    </font>
    <font>
      <sz val="11"/>
      <color rgb="FF262626"/>
      <name val="Arial"/>
      <family val="0"/>
      <charset val="1"/>
    </font>
    <font>
      <i val="true"/>
      <sz val="11"/>
      <color rgb="FF595959"/>
      <name val="Arial"/>
      <family val="0"/>
      <charset val="1"/>
    </font>
    <font>
      <b val="true"/>
      <i val="true"/>
      <sz val="11"/>
      <color theme="3"/>
      <name val="Arial"/>
      <family val="0"/>
      <charset val="1"/>
    </font>
    <font>
      <b val="true"/>
      <sz val="11"/>
      <color rgb="FF1F4E79"/>
      <name val="Arial"/>
      <family val="0"/>
      <charset val="1"/>
    </font>
    <font>
      <b val="true"/>
      <i val="true"/>
      <sz val="11"/>
      <color rgb="FF1F4E79"/>
      <name val="Arial"/>
      <family val="0"/>
      <charset val="1"/>
    </font>
    <font>
      <sz val="11"/>
      <color theme="3"/>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13">
    <fill>
      <patternFill patternType="none"/>
    </fill>
    <fill>
      <patternFill patternType="gray125"/>
    </fill>
    <fill>
      <patternFill patternType="solid">
        <fgColor theme="3"/>
        <bgColor rgb="FF1F4E79"/>
      </patternFill>
    </fill>
    <fill>
      <patternFill patternType="solid">
        <fgColor rgb="FF5B9BD5"/>
        <bgColor rgb="FF808080"/>
      </patternFill>
    </fill>
    <fill>
      <patternFill patternType="solid">
        <fgColor rgb="FF70AD47"/>
        <bgColor rgb="FF99CC00"/>
      </patternFill>
    </fill>
    <fill>
      <patternFill patternType="solid">
        <fgColor rgb="FFED7D31"/>
        <bgColor rgb="FFFF8080"/>
      </patternFill>
    </fill>
    <fill>
      <patternFill patternType="solid">
        <fgColor rgb="FFFF0000"/>
        <bgColor rgb="FF993300"/>
      </patternFill>
    </fill>
    <fill>
      <patternFill patternType="solid">
        <fgColor rgb="FFA5A5A5"/>
        <bgColor rgb="FFC0C0C0"/>
      </patternFill>
    </fill>
    <fill>
      <patternFill patternType="solid">
        <fgColor theme="3" tint="0.8"/>
        <bgColor rgb="FFD6E4F0"/>
      </patternFill>
    </fill>
    <fill>
      <patternFill patternType="solid">
        <fgColor rgb="FFD6E4F0"/>
        <bgColor rgb="FFC6D9F1"/>
      </patternFill>
    </fill>
    <fill>
      <patternFill patternType="solid">
        <fgColor rgb="FFFFF2CC"/>
        <bgColor rgb="FFF2F2F2"/>
      </patternFill>
    </fill>
    <fill>
      <patternFill patternType="solid">
        <fgColor rgb="FF1F4E79"/>
        <bgColor rgb="FF1F497D"/>
      </patternFill>
    </fill>
    <fill>
      <patternFill patternType="solid">
        <fgColor rgb="FFF2F2F2"/>
        <bgColor rgb="FFFFFFFF"/>
      </patternFill>
    </fill>
  </fills>
  <borders count="4">
    <border diagonalUp="false" diagonalDown="false">
      <left/>
      <right/>
      <top/>
      <bottom/>
      <diagonal/>
    </border>
    <border diagonalUp="false" diagonalDown="false">
      <left/>
      <right/>
      <top style="double"/>
      <bottom/>
      <diagonal/>
    </border>
    <border diagonalUp="false" diagonalDown="false">
      <left/>
      <right/>
      <top style="thin"/>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9" fillId="0" borderId="0" xfId="0" applyFont="true" applyBorder="false" applyAlignment="true" applyProtection="false">
      <alignment horizontal="right" vertical="center" textRotation="0" wrapText="false" indent="0" shrinkToFit="false"/>
      <protection locked="true" hidden="false"/>
    </xf>
    <xf numFmtId="166" fontId="9" fillId="0" borderId="0" xfId="0" applyFont="true" applyBorder="false" applyAlignment="true" applyProtection="false">
      <alignment horizontal="right" vertical="center" textRotation="0" wrapText="false" indent="0" shrinkToFit="false"/>
      <protection locked="true" hidden="false"/>
    </xf>
    <xf numFmtId="167" fontId="9" fillId="0" borderId="0" xfId="0" applyFont="true" applyBorder="false" applyAlignment="true" applyProtection="false">
      <alignment horizontal="right" vertical="center" textRotation="0" wrapText="false" indent="0" shrinkToFit="false"/>
      <protection locked="true" hidden="false"/>
    </xf>
    <xf numFmtId="168" fontId="9" fillId="0"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4" fontId="8" fillId="5" borderId="0" xfId="0" applyFont="true" applyBorder="false" applyAlignment="false" applyProtection="false">
      <alignment horizontal="general" vertical="bottom" textRotation="0" wrapText="false" indent="0" shrinkToFit="false"/>
      <protection locked="true" hidden="false"/>
    </xf>
    <xf numFmtId="164" fontId="8" fillId="6" borderId="0" xfId="0" applyFont="true" applyBorder="false" applyAlignment="false" applyProtection="false">
      <alignment horizontal="general" vertical="bottom" textRotation="0" wrapText="false" indent="0" shrinkToFit="false"/>
      <protection locked="true" hidden="false"/>
    </xf>
    <xf numFmtId="164" fontId="8" fillId="7" borderId="0" xfId="0" applyFont="true" applyBorder="false" applyAlignment="false" applyProtection="false">
      <alignment horizontal="general" vertical="bottom" textRotation="0" wrapText="false" indent="0" shrinkToFit="false"/>
      <protection locked="true" hidden="false"/>
    </xf>
    <xf numFmtId="164" fontId="11" fillId="8" borderId="0" xfId="0" applyFont="true" applyBorder="false" applyAlignment="true" applyProtection="false">
      <alignment horizontal="left" vertical="center" textRotation="0" wrapText="false" indent="0" shrinkToFit="false"/>
      <protection locked="true" hidden="false"/>
    </xf>
    <xf numFmtId="164" fontId="8" fillId="8"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5" fillId="9" borderId="0" xfId="0" applyFont="true" applyBorder="false" applyAlignment="true" applyProtection="false">
      <alignment horizontal="left" vertical="center" textRotation="0" wrapText="false" indent="0" shrinkToFit="false"/>
      <protection locked="true" hidden="false"/>
    </xf>
    <xf numFmtId="164" fontId="8" fillId="9"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6" fillId="2" borderId="0" xfId="0" applyFont="true" applyBorder="false" applyAlignment="true" applyProtection="false">
      <alignment horizontal="center" vertical="center" textRotation="0" wrapText="false" indent="0" shrinkToFit="false"/>
      <protection locked="true" hidden="false"/>
    </xf>
    <xf numFmtId="164" fontId="11" fillId="8"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9" fontId="17" fillId="10"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7" fontId="17" fillId="10" borderId="0" xfId="0" applyFont="true" applyBorder="false" applyAlignment="true" applyProtection="false">
      <alignment horizontal="right" vertical="center" textRotation="0" wrapText="false" indent="0" shrinkToFit="false"/>
      <protection locked="true" hidden="false"/>
    </xf>
    <xf numFmtId="165" fontId="17" fillId="10" borderId="0" xfId="0" applyFont="true" applyBorder="false" applyAlignment="true" applyProtection="false">
      <alignment horizontal="right" vertical="center" textRotation="0" wrapText="false" indent="0" shrinkToFit="false"/>
      <protection locked="true" hidden="false"/>
    </xf>
    <xf numFmtId="164" fontId="0" fillId="8" borderId="0" xfId="0" applyFont="true" applyBorder="false" applyAlignment="true" applyProtection="false">
      <alignment horizontal="left" vertical="center" textRotation="0" wrapText="false" indent="0" shrinkToFit="false"/>
      <protection locked="true" hidden="false"/>
    </xf>
    <xf numFmtId="164" fontId="10" fillId="8" borderId="0" xfId="0" applyFont="true" applyBorder="false" applyAlignment="true" applyProtection="false">
      <alignment horizontal="center" vertical="center" textRotation="0" wrapText="false" indent="0" shrinkToFit="false"/>
      <protection locked="true" hidden="false"/>
    </xf>
    <xf numFmtId="164" fontId="10" fillId="8" borderId="0" xfId="0" applyFont="true" applyBorder="false" applyAlignment="false" applyProtection="false">
      <alignment horizontal="general" vertical="bottom" textRotation="0" wrapText="false" indent="0" shrinkToFit="false"/>
      <protection locked="true" hidden="false"/>
    </xf>
    <xf numFmtId="166" fontId="17" fillId="10" borderId="0" xfId="0" applyFont="true" applyBorder="false" applyAlignment="true" applyProtection="false">
      <alignment horizontal="right" vertical="center" textRotation="0" wrapText="false" indent="0" shrinkToFit="false"/>
      <protection locked="true" hidden="false"/>
    </xf>
    <xf numFmtId="169" fontId="6" fillId="2" borderId="0" xfId="0" applyFont="true" applyBorder="false" applyAlignment="true" applyProtection="false">
      <alignment horizontal="center" vertical="center" textRotation="0" wrapText="false" indent="0" shrinkToFit="false"/>
      <protection locked="true" hidden="false"/>
    </xf>
    <xf numFmtId="165" fontId="0" fillId="0" borderId="0" xfId="0" applyFont="true" applyBorder="false" applyAlignment="true" applyProtection="false">
      <alignment horizontal="right" vertical="center" textRotation="0" wrapText="false" indent="0" shrinkToFit="false"/>
      <protection locked="true" hidden="false"/>
    </xf>
    <xf numFmtId="167" fontId="0" fillId="0" borderId="0" xfId="0" applyFont="true" applyBorder="false" applyAlignment="true" applyProtection="false">
      <alignment horizontal="right" vertical="center" textRotation="0" wrapText="false" indent="0" shrinkToFit="false"/>
      <protection locked="true" hidden="false"/>
    </xf>
    <xf numFmtId="166" fontId="0" fillId="0" borderId="0" xfId="0" applyFont="true" applyBorder="false" applyAlignment="true" applyProtection="false">
      <alignment horizontal="right" vertical="center" textRotation="0" wrapText="false" indent="0" shrinkToFit="false"/>
      <protection locked="true" hidden="false"/>
    </xf>
    <xf numFmtId="164" fontId="9" fillId="0" borderId="1" xfId="0" applyFont="true" applyBorder="true" applyAlignment="true" applyProtection="false">
      <alignment horizontal="left" vertical="center" textRotation="0" wrapText="false" indent="0" shrinkToFit="false"/>
      <protection locked="true" hidden="false"/>
    </xf>
    <xf numFmtId="166" fontId="9" fillId="0" borderId="1" xfId="0" applyFont="true" applyBorder="tru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1" shrinkToFit="false"/>
      <protection locked="true" hidden="false"/>
    </xf>
    <xf numFmtId="164" fontId="6" fillId="8" borderId="0" xfId="0" applyFont="true" applyBorder="false" applyAlignment="true" applyProtection="false">
      <alignment horizontal="center" vertical="center" textRotation="0" wrapText="false" indent="0"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6" fontId="0" fillId="0" borderId="2" xfId="0" applyFont="true" applyBorder="true" applyAlignment="true" applyProtection="false">
      <alignment horizontal="right" vertical="center" textRotation="0" wrapText="false" indent="0" shrinkToFit="false"/>
      <protection locked="true" hidden="false"/>
    </xf>
    <xf numFmtId="166" fontId="0" fillId="0" borderId="1" xfId="0" applyFont="true" applyBorder="true" applyAlignment="true" applyProtection="false">
      <alignment horizontal="right" vertical="center" textRotation="0" wrapText="false" indent="0" shrinkToFit="false"/>
      <protection locked="true" hidden="false"/>
    </xf>
    <xf numFmtId="166" fontId="10" fillId="8" borderId="0" xfId="0" applyFont="true" applyBorder="false" applyAlignment="true" applyProtection="false">
      <alignment horizontal="right" vertical="center" textRotation="0" wrapText="false" indent="0" shrinkToFit="false"/>
      <protection locked="true" hidden="false"/>
    </xf>
    <xf numFmtId="169" fontId="0" fillId="0" borderId="0" xfId="0" applyFont="true" applyBorder="false" applyAlignment="true" applyProtection="false">
      <alignment horizontal="right" vertical="center" textRotation="0" wrapText="false" indent="0" shrinkToFit="false"/>
      <protection locked="true" hidden="false"/>
    </xf>
    <xf numFmtId="166" fontId="9" fillId="0" borderId="2" xfId="0" applyFont="true" applyBorder="true" applyAlignment="true" applyProtection="false">
      <alignment horizontal="right" vertical="center" textRotation="0" wrapText="false" indent="0" shrinkToFit="false"/>
      <protection locked="true" hidden="false"/>
    </xf>
    <xf numFmtId="168" fontId="0" fillId="0" borderId="0" xfId="0" applyFont="true" applyBorder="false" applyAlignment="true" applyProtection="false">
      <alignment horizontal="right" vertical="center" textRotation="0" wrapText="false" indent="0" shrinkToFit="false"/>
      <protection locked="true" hidden="false"/>
    </xf>
    <xf numFmtId="164" fontId="0" fillId="0" borderId="2"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6" fontId="10" fillId="0" borderId="0" xfId="0" applyFont="true" applyBorder="false" applyAlignment="true" applyProtection="false">
      <alignment horizontal="right" vertical="center" textRotation="0" wrapText="false" indent="0" shrinkToFit="false"/>
      <protection locked="true" hidden="false"/>
    </xf>
    <xf numFmtId="165" fontId="8" fillId="0" borderId="0" xfId="0" applyFont="true" applyBorder="false" applyAlignment="true" applyProtection="false">
      <alignment horizontal="right" vertical="center" textRotation="0" wrapText="false" indent="0" shrinkToFit="false"/>
      <protection locked="true" hidden="false"/>
    </xf>
    <xf numFmtId="165" fontId="8" fillId="0" borderId="0" xfId="0" applyFont="true" applyBorder="fals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6" fontId="8" fillId="0" borderId="0" xfId="0" applyFont="true" applyBorder="false" applyAlignment="true" applyProtection="false">
      <alignment horizontal="right" vertical="center" textRotation="0" wrapText="false" indent="0" shrinkToFit="false"/>
      <protection locked="true" hidden="false"/>
    </xf>
    <xf numFmtId="166" fontId="8" fillId="0" borderId="0" xfId="0" applyFont="true" applyBorder="false" applyAlignment="true" applyProtection="false">
      <alignment horizontal="center" vertical="center" textRotation="0" wrapText="false" indent="0" shrinkToFit="false"/>
      <protection locked="true" hidden="false"/>
    </xf>
    <xf numFmtId="168" fontId="8" fillId="0" borderId="0" xfId="0" applyFont="true" applyBorder="false" applyAlignment="true" applyProtection="false">
      <alignment horizontal="right" vertical="center" textRotation="0" wrapText="false" indent="0" shrinkToFit="false"/>
      <protection locked="true" hidden="false"/>
    </xf>
    <xf numFmtId="168" fontId="8" fillId="0" borderId="0" xfId="0" applyFont="true" applyBorder="false" applyAlignment="true" applyProtection="false">
      <alignment horizontal="center" vertical="center" textRotation="0" wrapText="false" indent="0" shrinkToFit="false"/>
      <protection locked="true" hidden="false"/>
    </xf>
    <xf numFmtId="167" fontId="8" fillId="0" borderId="0" xfId="0" applyFont="true" applyBorder="false" applyAlignment="true" applyProtection="false">
      <alignment horizontal="right" vertical="center" textRotation="0" wrapText="false" indent="0" shrinkToFit="false"/>
      <protection locked="true" hidden="false"/>
    </xf>
    <xf numFmtId="170" fontId="8" fillId="0" borderId="0" xfId="0" applyFont="true" applyBorder="false" applyAlignment="true" applyProtection="false">
      <alignment horizontal="center" vertical="center" textRotation="0" wrapText="false" indent="0" shrinkToFit="false"/>
      <protection locked="true" hidden="false"/>
    </xf>
    <xf numFmtId="169" fontId="8" fillId="0" borderId="0" xfId="0" applyFont="true" applyBorder="false" applyAlignment="true" applyProtection="false">
      <alignment horizontal="center" vertical="center" textRotation="0" wrapText="false" indent="0" shrinkToFit="false"/>
      <protection locked="true" hidden="false"/>
    </xf>
    <xf numFmtId="170" fontId="8" fillId="0" borderId="0" xfId="0" applyFont="true" applyBorder="false" applyAlignment="true" applyProtection="false">
      <alignment horizontal="right"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8" fillId="0" borderId="3" xfId="0" applyFont="true" applyBorder="true" applyAlignment="false" applyProtection="false">
      <alignment horizontal="general" vertical="bottom" textRotation="0" wrapText="false" indent="0" shrinkToFit="false"/>
      <protection locked="true" hidden="false"/>
    </xf>
    <xf numFmtId="164" fontId="19" fillId="11" borderId="0" xfId="0" applyFont="true" applyBorder="false" applyAlignment="true" applyProtection="false">
      <alignment horizontal="left" vertical="center" textRotation="0" wrapText="false" indent="1" shrinkToFit="false"/>
      <protection locked="true" hidden="false"/>
    </xf>
    <xf numFmtId="164" fontId="20" fillId="0" borderId="0" xfId="0" applyFont="true" applyBorder="false" applyAlignment="true" applyProtection="false">
      <alignment horizontal="left" vertical="top" textRotation="0" wrapText="true" indent="1" shrinkToFit="false"/>
      <protection locked="true" hidden="false"/>
    </xf>
    <xf numFmtId="164" fontId="21" fillId="0" borderId="0" xfId="0" applyFont="true" applyBorder="false" applyAlignment="true" applyProtection="false">
      <alignment horizontal="left" vertical="center" textRotation="0" wrapText="false" indent="1" shrinkToFit="false"/>
      <protection locked="true" hidden="false"/>
    </xf>
    <xf numFmtId="164" fontId="15" fillId="0" borderId="0" xfId="0" applyFont="true" applyBorder="false" applyAlignment="true" applyProtection="false">
      <alignment horizontal="left" vertical="center" textRotation="0" wrapText="false" indent="1" shrinkToFit="false"/>
      <protection locked="true" hidden="false"/>
    </xf>
    <xf numFmtId="164" fontId="22" fillId="12" borderId="0" xfId="0" applyFont="true" applyBorder="false" applyAlignment="true" applyProtection="false">
      <alignment horizontal="left" vertical="top" textRotation="0" wrapText="true" indent="1" shrinkToFit="false"/>
      <protection locked="true" hidden="false"/>
    </xf>
    <xf numFmtId="164" fontId="23"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FF2CC"/>
      <rgbColor rgb="FFD6E4F0"/>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112"/>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3" min="3" style="0" width="20"/>
    <col collapsed="false" customWidth="true" hidden="false" outlineLevel="0" max="6" min="4" style="0" width="18"/>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5"/>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7" t="s">
        <v>4</v>
      </c>
      <c r="C6" s="8" t="n">
        <f aca="false">Total_Beds</f>
        <v>350</v>
      </c>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7" t="s">
        <v>5</v>
      </c>
      <c r="C7" s="9" t="n">
        <f aca="false">Dev_TDC</f>
        <v>29123995.3125</v>
      </c>
      <c r="D7" s="5"/>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7" t="s">
        <v>6</v>
      </c>
      <c r="C8" s="10" t="n">
        <f aca="false">Dev_Debt/Dev_TDC</f>
        <v>0.55</v>
      </c>
      <c r="D8" s="5"/>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7" t="s">
        <v>7</v>
      </c>
      <c r="C9" s="10" t="n">
        <f aca="false">CF_Equity_IRR</f>
        <v>0.177975414105256</v>
      </c>
      <c r="D9" s="5"/>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7" t="s">
        <v>8</v>
      </c>
      <c r="C10" s="11" t="n">
        <f aca="false">MIN(Debt_Schedule!C14:L14)</f>
        <v>1.67507173268591</v>
      </c>
      <c r="D10" s="5"/>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6" t="s">
        <v>9</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7" t="s">
        <v>10</v>
      </c>
      <c r="C14" s="12" t="s">
        <v>11</v>
      </c>
      <c r="D14" s="13"/>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7" t="s">
        <v>12</v>
      </c>
      <c r="C15" s="12" t="s">
        <v>13</v>
      </c>
      <c r="D15" s="14"/>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7" t="s">
        <v>14</v>
      </c>
      <c r="C16" s="12" t="s">
        <v>15</v>
      </c>
      <c r="D16" s="15"/>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7" t="s">
        <v>16</v>
      </c>
      <c r="C17" s="12" t="s">
        <v>17</v>
      </c>
      <c r="D17" s="16"/>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7" t="s">
        <v>18</v>
      </c>
      <c r="C18" s="12" t="s">
        <v>19</v>
      </c>
      <c r="D18" s="16"/>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7" t="s">
        <v>20</v>
      </c>
      <c r="C19" s="12" t="s">
        <v>21</v>
      </c>
      <c r="D19" s="17"/>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7" t="s">
        <v>22</v>
      </c>
      <c r="C20" s="12" t="s">
        <v>23</v>
      </c>
      <c r="D20" s="18"/>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7" t="s">
        <v>24</v>
      </c>
      <c r="C21" s="12" t="s">
        <v>25</v>
      </c>
      <c r="D21" s="18"/>
      <c r="E21" s="5"/>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7" t="s">
        <v>26</v>
      </c>
      <c r="C22" s="12" t="s">
        <v>27</v>
      </c>
      <c r="D22" s="17"/>
      <c r="E22" s="5"/>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9.5" hidden="false" customHeight="true" outlineLevel="0" collapsed="false">
      <c r="A25" s="5"/>
      <c r="B25" s="19" t="s">
        <v>28</v>
      </c>
      <c r="C25" s="20"/>
      <c r="D25" s="20"/>
      <c r="E25" s="20"/>
      <c r="F25" s="20"/>
      <c r="G25" s="20"/>
      <c r="H25" s="5"/>
      <c r="I25" s="5"/>
      <c r="J25" s="5"/>
      <c r="K25" s="5"/>
      <c r="L25" s="5"/>
      <c r="M25" s="5"/>
      <c r="N25" s="5"/>
      <c r="O25" s="5"/>
      <c r="P25" s="5"/>
      <c r="Q25" s="5"/>
      <c r="R25" s="5"/>
      <c r="S25" s="5"/>
      <c r="T25" s="5"/>
      <c r="U25" s="5"/>
      <c r="V25" s="5"/>
      <c r="W25" s="5"/>
      <c r="X25" s="5"/>
      <c r="Y25" s="5"/>
      <c r="Z25" s="5"/>
      <c r="AA25" s="5"/>
      <c r="AB25" s="5"/>
      <c r="AC25" s="5"/>
      <c r="AD25" s="5"/>
    </row>
    <row r="26" customFormat="false" ht="233.25" hidden="false" customHeight="true" outlineLevel="0" collapsed="false">
      <c r="A26" s="5"/>
      <c r="B26" s="21" t="s">
        <v>29</v>
      </c>
      <c r="C26" s="21"/>
      <c r="D26" s="21"/>
      <c r="E26" s="21"/>
      <c r="F26" s="21"/>
      <c r="G26" s="21"/>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customFormat="false" ht="19.5" hidden="false" customHeight="true" outlineLevel="0" collapsed="false">
      <c r="A28" s="5"/>
      <c r="B28" s="19" t="s">
        <v>30</v>
      </c>
      <c r="C28" s="20"/>
      <c r="D28" s="20"/>
      <c r="E28" s="20"/>
      <c r="F28" s="20"/>
      <c r="G28" s="20"/>
      <c r="H28" s="5"/>
      <c r="I28" s="5"/>
      <c r="J28" s="5"/>
      <c r="K28" s="5"/>
      <c r="L28" s="5"/>
      <c r="M28" s="5"/>
      <c r="N28" s="5"/>
      <c r="O28" s="5"/>
      <c r="P28" s="5"/>
      <c r="Q28" s="5"/>
      <c r="R28" s="5"/>
      <c r="S28" s="5"/>
      <c r="T28" s="5"/>
      <c r="U28" s="5"/>
      <c r="V28" s="5"/>
      <c r="W28" s="5"/>
      <c r="X28" s="5"/>
      <c r="Y28" s="5"/>
      <c r="Z28" s="5"/>
      <c r="AA28" s="5"/>
      <c r="AB28" s="5"/>
      <c r="AC28" s="5"/>
      <c r="AD28" s="5"/>
    </row>
    <row r="29" customFormat="false" ht="57" hidden="false" customHeight="true" outlineLevel="0" collapsed="false">
      <c r="A29" s="5"/>
      <c r="B29" s="21" t="s">
        <v>31</v>
      </c>
      <c r="C29" s="21"/>
      <c r="D29" s="21"/>
      <c r="E29" s="21"/>
      <c r="F29" s="21"/>
      <c r="G29" s="21"/>
      <c r="H29" s="5"/>
      <c r="I29" s="5"/>
      <c r="J29" s="5"/>
      <c r="K29" s="5"/>
      <c r="L29" s="5"/>
      <c r="M29" s="5"/>
      <c r="N29" s="5"/>
      <c r="O29" s="5"/>
      <c r="P29" s="5"/>
      <c r="Q29" s="5"/>
      <c r="R29" s="5"/>
      <c r="S29" s="5"/>
      <c r="T29" s="5"/>
      <c r="U29" s="5"/>
      <c r="V29" s="5"/>
      <c r="W29" s="5"/>
      <c r="X29" s="5"/>
      <c r="Y29" s="5"/>
      <c r="Z29" s="5"/>
      <c r="AA29" s="5"/>
      <c r="AB29" s="5"/>
      <c r="AC29" s="5"/>
      <c r="AD29" s="5"/>
    </row>
    <row r="30" customFormat="false" ht="15" hidden="false" customHeight="false" outlineLevel="0" collapsed="false">
      <c r="A30" s="5"/>
      <c r="B30" s="22" t="s">
        <v>32</v>
      </c>
      <c r="C30" s="22"/>
      <c r="D30" s="22"/>
      <c r="E30" s="22"/>
      <c r="F30" s="22"/>
      <c r="G30" s="22"/>
      <c r="H30" s="5"/>
      <c r="I30" s="5"/>
      <c r="J30" s="5"/>
      <c r="K30" s="5"/>
      <c r="L30" s="5"/>
      <c r="M30" s="5"/>
      <c r="N30" s="5"/>
      <c r="O30" s="5"/>
      <c r="P30" s="5"/>
      <c r="Q30" s="5"/>
      <c r="R30" s="5"/>
      <c r="S30" s="5"/>
      <c r="T30" s="5"/>
      <c r="U30" s="5"/>
      <c r="V30" s="5"/>
      <c r="W30" s="5"/>
      <c r="X30" s="5"/>
      <c r="Y30" s="5"/>
      <c r="Z30" s="5"/>
      <c r="AA30" s="5"/>
      <c r="AB30" s="5"/>
      <c r="AC30" s="5"/>
      <c r="AD30" s="5"/>
    </row>
    <row r="31" customFormat="false" ht="15" hidden="false" customHeight="false" outlineLevel="0" collapsed="false">
      <c r="A31" s="5"/>
      <c r="B31" s="23" t="s">
        <v>33</v>
      </c>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customFormat="false" ht="15" hidden="false" customHeight="false" outlineLevel="0" collapsed="false">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customFormat="false" ht="15" hidden="false" customHeight="false" outlineLevel="0" collapsed="false">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customFormat="false" ht="19.5" hidden="false" customHeight="true" outlineLevel="0" collapsed="false">
      <c r="A34" s="5"/>
      <c r="B34" s="19" t="s">
        <v>28</v>
      </c>
      <c r="C34" s="20"/>
      <c r="D34" s="20"/>
      <c r="E34" s="20"/>
      <c r="F34" s="20"/>
      <c r="G34" s="20"/>
      <c r="H34" s="5"/>
      <c r="I34" s="5"/>
      <c r="J34" s="5"/>
      <c r="K34" s="5"/>
      <c r="L34" s="5"/>
      <c r="M34" s="5"/>
      <c r="N34" s="5"/>
      <c r="O34" s="5"/>
      <c r="P34" s="5"/>
      <c r="Q34" s="5"/>
      <c r="R34" s="5"/>
      <c r="S34" s="5"/>
      <c r="T34" s="5"/>
      <c r="U34" s="5"/>
      <c r="V34" s="5"/>
      <c r="W34" s="5"/>
      <c r="X34" s="5"/>
      <c r="Y34" s="5"/>
      <c r="Z34" s="5"/>
      <c r="AA34" s="5"/>
      <c r="AB34" s="5"/>
      <c r="AC34" s="5"/>
      <c r="AD34" s="5"/>
    </row>
    <row r="35" customFormat="false" ht="233.25" hidden="false" customHeight="true" outlineLevel="0" collapsed="false">
      <c r="A35" s="5"/>
      <c r="B35" s="21" t="s">
        <v>29</v>
      </c>
      <c r="C35" s="21"/>
      <c r="D35" s="21"/>
      <c r="E35" s="21"/>
      <c r="F35" s="21"/>
      <c r="G35" s="21"/>
      <c r="H35" s="5"/>
      <c r="I35" s="5"/>
      <c r="J35" s="5"/>
      <c r="K35" s="5"/>
      <c r="L35" s="5"/>
      <c r="M35" s="5"/>
      <c r="N35" s="5"/>
      <c r="O35" s="5"/>
      <c r="P35" s="5"/>
      <c r="Q35" s="5"/>
      <c r="R35" s="5"/>
      <c r="S35" s="5"/>
      <c r="T35" s="5"/>
      <c r="U35" s="5"/>
      <c r="V35" s="5"/>
      <c r="W35" s="5"/>
      <c r="X35" s="5"/>
      <c r="Y35" s="5"/>
      <c r="Z35" s="5"/>
      <c r="AA35" s="5"/>
      <c r="AB35" s="5"/>
      <c r="AC35" s="5"/>
      <c r="AD35" s="5"/>
    </row>
    <row r="36" customFormat="false" ht="15" hidden="false" customHeight="false" outlineLevel="0" collapsed="false">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row>
    <row r="37" customFormat="false" ht="19.5" hidden="false" customHeight="true" outlineLevel="0" collapsed="false">
      <c r="A37" s="5"/>
      <c r="B37" s="19" t="s">
        <v>30</v>
      </c>
      <c r="C37" s="20"/>
      <c r="D37" s="20"/>
      <c r="E37" s="20"/>
      <c r="F37" s="20"/>
      <c r="G37" s="20"/>
      <c r="H37" s="5"/>
      <c r="I37" s="5"/>
      <c r="J37" s="5"/>
      <c r="K37" s="5"/>
      <c r="L37" s="5"/>
      <c r="M37" s="5"/>
      <c r="N37" s="5"/>
      <c r="O37" s="5"/>
      <c r="P37" s="5"/>
      <c r="Q37" s="5"/>
      <c r="R37" s="5"/>
      <c r="S37" s="5"/>
      <c r="T37" s="5"/>
      <c r="U37" s="5"/>
      <c r="V37" s="5"/>
      <c r="W37" s="5"/>
      <c r="X37" s="5"/>
      <c r="Y37" s="5"/>
      <c r="Z37" s="5"/>
      <c r="AA37" s="5"/>
      <c r="AB37" s="5"/>
      <c r="AC37" s="5"/>
      <c r="AD37" s="5"/>
    </row>
    <row r="38" customFormat="false" ht="57" hidden="false" customHeight="true" outlineLevel="0" collapsed="false">
      <c r="A38" s="5"/>
      <c r="B38" s="21" t="s">
        <v>31</v>
      </c>
      <c r="C38" s="21"/>
      <c r="D38" s="21"/>
      <c r="E38" s="21"/>
      <c r="F38" s="21"/>
      <c r="G38" s="21"/>
      <c r="H38" s="5"/>
      <c r="I38" s="5"/>
      <c r="J38" s="5"/>
      <c r="K38" s="5"/>
      <c r="L38" s="5"/>
      <c r="M38" s="5"/>
      <c r="N38" s="5"/>
      <c r="O38" s="5"/>
      <c r="P38" s="5"/>
      <c r="Q38" s="5"/>
      <c r="R38" s="5"/>
      <c r="S38" s="5"/>
      <c r="T38" s="5"/>
      <c r="U38" s="5"/>
      <c r="V38" s="5"/>
      <c r="W38" s="5"/>
      <c r="X38" s="5"/>
      <c r="Y38" s="5"/>
      <c r="Z38" s="5"/>
      <c r="AA38" s="5"/>
      <c r="AB38" s="5"/>
      <c r="AC38" s="5"/>
      <c r="AD38" s="5"/>
    </row>
    <row r="39" customFormat="false" ht="15" hidden="false" customHeight="false" outlineLevel="0" collapsed="false">
      <c r="A39" s="5"/>
      <c r="B39" s="22" t="s">
        <v>32</v>
      </c>
      <c r="C39" s="22"/>
      <c r="D39" s="22"/>
      <c r="E39" s="22"/>
      <c r="F39" s="22"/>
      <c r="G39" s="22"/>
      <c r="H39" s="5"/>
      <c r="I39" s="5"/>
      <c r="J39" s="5"/>
      <c r="K39" s="5"/>
      <c r="L39" s="5"/>
      <c r="M39" s="5"/>
      <c r="N39" s="5"/>
      <c r="O39" s="5"/>
      <c r="P39" s="5"/>
      <c r="Q39" s="5"/>
      <c r="R39" s="5"/>
      <c r="S39" s="5"/>
      <c r="T39" s="5"/>
      <c r="U39" s="5"/>
      <c r="V39" s="5"/>
      <c r="W39" s="5"/>
      <c r="X39" s="5"/>
      <c r="Y39" s="5"/>
      <c r="Z39" s="5"/>
      <c r="AA39" s="5"/>
      <c r="AB39" s="5"/>
      <c r="AC39" s="5"/>
      <c r="AD39" s="5"/>
    </row>
    <row r="40" customFormat="false" ht="15" hidden="false" customHeight="false" outlineLevel="0" collapsed="false">
      <c r="A40" s="5"/>
      <c r="B40" s="23" t="s">
        <v>33</v>
      </c>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row>
    <row r="41" customFormat="false" ht="15" hidden="false" customHeight="false" outlineLevel="0" collapsed="false">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row>
    <row r="42" customFormat="false" ht="15" hidden="false" customHeight="false" outlineLevel="0" collapsed="false">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row>
    <row r="43" customFormat="false" ht="19.5" hidden="false" customHeight="true" outlineLevel="0" collapsed="false">
      <c r="A43" s="5"/>
      <c r="B43" s="19" t="s">
        <v>28</v>
      </c>
      <c r="C43" s="20"/>
      <c r="D43" s="20"/>
      <c r="E43" s="20"/>
      <c r="F43" s="20"/>
      <c r="G43" s="20"/>
      <c r="H43" s="5"/>
      <c r="I43" s="5"/>
      <c r="J43" s="5"/>
      <c r="K43" s="5"/>
      <c r="L43" s="5"/>
      <c r="M43" s="5"/>
      <c r="N43" s="5"/>
      <c r="O43" s="5"/>
      <c r="P43" s="5"/>
      <c r="Q43" s="5"/>
      <c r="R43" s="5"/>
      <c r="S43" s="5"/>
      <c r="T43" s="5"/>
      <c r="U43" s="5"/>
      <c r="V43" s="5"/>
      <c r="W43" s="5"/>
      <c r="X43" s="5"/>
      <c r="Y43" s="5"/>
      <c r="Z43" s="5"/>
      <c r="AA43" s="5"/>
      <c r="AB43" s="5"/>
      <c r="AC43" s="5"/>
      <c r="AD43" s="5"/>
    </row>
    <row r="44" customFormat="false" ht="233.25" hidden="false" customHeight="true" outlineLevel="0" collapsed="false">
      <c r="A44" s="5"/>
      <c r="B44" s="21" t="s">
        <v>29</v>
      </c>
      <c r="C44" s="21"/>
      <c r="D44" s="21"/>
      <c r="E44" s="21"/>
      <c r="F44" s="21"/>
      <c r="G44" s="21"/>
      <c r="H44" s="5"/>
      <c r="I44" s="5"/>
      <c r="J44" s="5"/>
      <c r="K44" s="5"/>
      <c r="L44" s="5"/>
      <c r="M44" s="5"/>
      <c r="N44" s="5"/>
      <c r="O44" s="5"/>
      <c r="P44" s="5"/>
      <c r="Q44" s="5"/>
      <c r="R44" s="5"/>
      <c r="S44" s="5"/>
      <c r="T44" s="5"/>
      <c r="U44" s="5"/>
      <c r="V44" s="5"/>
      <c r="W44" s="5"/>
      <c r="X44" s="5"/>
      <c r="Y44" s="5"/>
      <c r="Z44" s="5"/>
      <c r="AA44" s="5"/>
      <c r="AB44" s="5"/>
      <c r="AC44" s="5"/>
      <c r="AD44" s="5"/>
    </row>
    <row r="45" customFormat="false" ht="15" hidden="false" customHeight="false" outlineLevel="0" collapsed="false">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row>
    <row r="46" customFormat="false" ht="19.5" hidden="false" customHeight="true" outlineLevel="0" collapsed="false">
      <c r="A46" s="5"/>
      <c r="B46" s="19" t="s">
        <v>30</v>
      </c>
      <c r="C46" s="20"/>
      <c r="D46" s="20"/>
      <c r="E46" s="20"/>
      <c r="F46" s="20"/>
      <c r="G46" s="20"/>
      <c r="H46" s="5"/>
      <c r="I46" s="5"/>
      <c r="J46" s="5"/>
      <c r="K46" s="5"/>
      <c r="L46" s="5"/>
      <c r="M46" s="5"/>
      <c r="N46" s="5"/>
      <c r="O46" s="5"/>
      <c r="P46" s="5"/>
      <c r="Q46" s="5"/>
      <c r="R46" s="5"/>
      <c r="S46" s="5"/>
      <c r="T46" s="5"/>
      <c r="U46" s="5"/>
      <c r="V46" s="5"/>
      <c r="W46" s="5"/>
      <c r="X46" s="5"/>
      <c r="Y46" s="5"/>
      <c r="Z46" s="5"/>
      <c r="AA46" s="5"/>
      <c r="AB46" s="5"/>
      <c r="AC46" s="5"/>
      <c r="AD46" s="5"/>
    </row>
    <row r="47" customFormat="false" ht="57" hidden="false" customHeight="true" outlineLevel="0" collapsed="false">
      <c r="A47" s="5"/>
      <c r="B47" s="21" t="s">
        <v>31</v>
      </c>
      <c r="C47" s="21"/>
      <c r="D47" s="21"/>
      <c r="E47" s="21"/>
      <c r="F47" s="21"/>
      <c r="G47" s="21"/>
      <c r="H47" s="5"/>
      <c r="I47" s="5"/>
      <c r="J47" s="5"/>
      <c r="K47" s="5"/>
      <c r="L47" s="5"/>
      <c r="M47" s="5"/>
      <c r="N47" s="5"/>
      <c r="O47" s="5"/>
      <c r="P47" s="5"/>
      <c r="Q47" s="5"/>
      <c r="R47" s="5"/>
      <c r="S47" s="5"/>
      <c r="T47" s="5"/>
      <c r="U47" s="5"/>
      <c r="V47" s="5"/>
      <c r="W47" s="5"/>
      <c r="X47" s="5"/>
      <c r="Y47" s="5"/>
      <c r="Z47" s="5"/>
      <c r="AA47" s="5"/>
      <c r="AB47" s="5"/>
      <c r="AC47" s="5"/>
      <c r="AD47" s="5"/>
    </row>
    <row r="48" customFormat="false" ht="15" hidden="false" customHeight="false" outlineLevel="0" collapsed="false">
      <c r="A48" s="5"/>
      <c r="B48" s="22" t="s">
        <v>32</v>
      </c>
      <c r="C48" s="22"/>
      <c r="D48" s="22"/>
      <c r="E48" s="22"/>
      <c r="F48" s="22"/>
      <c r="G48" s="22"/>
      <c r="H48" s="5"/>
      <c r="I48" s="5"/>
      <c r="J48" s="5"/>
      <c r="K48" s="5"/>
      <c r="L48" s="5"/>
      <c r="M48" s="5"/>
      <c r="N48" s="5"/>
      <c r="O48" s="5"/>
      <c r="P48" s="5"/>
      <c r="Q48" s="5"/>
      <c r="R48" s="5"/>
      <c r="S48" s="5"/>
      <c r="T48" s="5"/>
      <c r="U48" s="5"/>
      <c r="V48" s="5"/>
      <c r="W48" s="5"/>
      <c r="X48" s="5"/>
      <c r="Y48" s="5"/>
      <c r="Z48" s="5"/>
      <c r="AA48" s="5"/>
      <c r="AB48" s="5"/>
      <c r="AC48" s="5"/>
      <c r="AD48" s="5"/>
    </row>
    <row r="49" customFormat="false" ht="15" hidden="false" customHeight="false" outlineLevel="0" collapsed="false">
      <c r="A49" s="5"/>
      <c r="B49" s="23" t="s">
        <v>33</v>
      </c>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row>
    <row r="50" customFormat="false" ht="15" hidden="false" customHeight="false" outlineLevel="0" collapsed="false">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row>
    <row r="51" customFormat="false" ht="15" hidden="false" customHeight="false" outlineLevel="0" collapsed="false">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row>
    <row r="52" customFormat="false" ht="19.5" hidden="false" customHeight="true" outlineLevel="0" collapsed="false">
      <c r="A52" s="5"/>
      <c r="B52" s="19" t="s">
        <v>28</v>
      </c>
      <c r="C52" s="20"/>
      <c r="D52" s="20"/>
      <c r="E52" s="20"/>
      <c r="F52" s="20"/>
      <c r="G52" s="20"/>
      <c r="H52" s="5"/>
      <c r="I52" s="5"/>
      <c r="J52" s="5"/>
      <c r="K52" s="5"/>
      <c r="L52" s="5"/>
      <c r="M52" s="5"/>
      <c r="N52" s="5"/>
      <c r="O52" s="5"/>
      <c r="P52" s="5"/>
      <c r="Q52" s="5"/>
      <c r="R52" s="5"/>
      <c r="S52" s="5"/>
      <c r="T52" s="5"/>
      <c r="U52" s="5"/>
      <c r="V52" s="5"/>
      <c r="W52" s="5"/>
      <c r="X52" s="5"/>
      <c r="Y52" s="5"/>
      <c r="Z52" s="5"/>
      <c r="AA52" s="5"/>
      <c r="AB52" s="5"/>
      <c r="AC52" s="5"/>
      <c r="AD52" s="5"/>
    </row>
    <row r="53" customFormat="false" ht="233.25" hidden="false" customHeight="true" outlineLevel="0" collapsed="false">
      <c r="A53" s="5"/>
      <c r="B53" s="21" t="s">
        <v>29</v>
      </c>
      <c r="C53" s="21"/>
      <c r="D53" s="21"/>
      <c r="E53" s="21"/>
      <c r="F53" s="21"/>
      <c r="G53" s="21"/>
      <c r="H53" s="5"/>
      <c r="I53" s="5"/>
      <c r="J53" s="5"/>
      <c r="K53" s="5"/>
      <c r="L53" s="5"/>
      <c r="M53" s="5"/>
      <c r="N53" s="5"/>
      <c r="O53" s="5"/>
      <c r="P53" s="5"/>
      <c r="Q53" s="5"/>
      <c r="R53" s="5"/>
      <c r="S53" s="5"/>
      <c r="T53" s="5"/>
      <c r="U53" s="5"/>
      <c r="V53" s="5"/>
      <c r="W53" s="5"/>
      <c r="X53" s="5"/>
      <c r="Y53" s="5"/>
      <c r="Z53" s="5"/>
      <c r="AA53" s="5"/>
      <c r="AB53" s="5"/>
      <c r="AC53" s="5"/>
      <c r="AD53" s="5"/>
    </row>
    <row r="54" customFormat="false" ht="15" hidden="false" customHeight="false" outlineLevel="0" collapsed="false">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row>
    <row r="55" customFormat="false" ht="19.5" hidden="false" customHeight="true" outlineLevel="0" collapsed="false">
      <c r="A55" s="5"/>
      <c r="B55" s="19" t="s">
        <v>30</v>
      </c>
      <c r="C55" s="20"/>
      <c r="D55" s="20"/>
      <c r="E55" s="20"/>
      <c r="F55" s="20"/>
      <c r="G55" s="20"/>
      <c r="H55" s="5"/>
      <c r="I55" s="5"/>
      <c r="J55" s="5"/>
      <c r="K55" s="5"/>
      <c r="L55" s="5"/>
      <c r="M55" s="5"/>
      <c r="N55" s="5"/>
      <c r="O55" s="5"/>
      <c r="P55" s="5"/>
      <c r="Q55" s="5"/>
      <c r="R55" s="5"/>
      <c r="S55" s="5"/>
      <c r="T55" s="5"/>
      <c r="U55" s="5"/>
      <c r="V55" s="5"/>
      <c r="W55" s="5"/>
      <c r="X55" s="5"/>
      <c r="Y55" s="5"/>
      <c r="Z55" s="5"/>
      <c r="AA55" s="5"/>
      <c r="AB55" s="5"/>
      <c r="AC55" s="5"/>
      <c r="AD55" s="5"/>
    </row>
    <row r="56" customFormat="false" ht="57" hidden="false" customHeight="true" outlineLevel="0" collapsed="false">
      <c r="A56" s="5"/>
      <c r="B56" s="21" t="s">
        <v>31</v>
      </c>
      <c r="C56" s="21"/>
      <c r="D56" s="21"/>
      <c r="E56" s="21"/>
      <c r="F56" s="21"/>
      <c r="G56" s="21"/>
      <c r="H56" s="5"/>
      <c r="I56" s="5"/>
      <c r="J56" s="5"/>
      <c r="K56" s="5"/>
      <c r="L56" s="5"/>
      <c r="M56" s="5"/>
      <c r="N56" s="5"/>
      <c r="O56" s="5"/>
      <c r="P56" s="5"/>
      <c r="Q56" s="5"/>
      <c r="R56" s="5"/>
      <c r="S56" s="5"/>
      <c r="T56" s="5"/>
      <c r="U56" s="5"/>
      <c r="V56" s="5"/>
      <c r="W56" s="5"/>
      <c r="X56" s="5"/>
      <c r="Y56" s="5"/>
      <c r="Z56" s="5"/>
      <c r="AA56" s="5"/>
      <c r="AB56" s="5"/>
      <c r="AC56" s="5"/>
      <c r="AD56" s="5"/>
    </row>
    <row r="57" customFormat="false" ht="15" hidden="false" customHeight="false" outlineLevel="0" collapsed="false">
      <c r="A57" s="5"/>
      <c r="B57" s="22" t="s">
        <v>32</v>
      </c>
      <c r="C57" s="22"/>
      <c r="D57" s="22"/>
      <c r="E57" s="22"/>
      <c r="F57" s="22"/>
      <c r="G57" s="22"/>
      <c r="H57" s="5"/>
      <c r="I57" s="5"/>
      <c r="J57" s="5"/>
      <c r="K57" s="5"/>
      <c r="L57" s="5"/>
      <c r="M57" s="5"/>
      <c r="N57" s="5"/>
      <c r="O57" s="5"/>
      <c r="P57" s="5"/>
      <c r="Q57" s="5"/>
      <c r="R57" s="5"/>
      <c r="S57" s="5"/>
      <c r="T57" s="5"/>
      <c r="U57" s="5"/>
      <c r="V57" s="5"/>
      <c r="W57" s="5"/>
      <c r="X57" s="5"/>
      <c r="Y57" s="5"/>
      <c r="Z57" s="5"/>
      <c r="AA57" s="5"/>
      <c r="AB57" s="5"/>
      <c r="AC57" s="5"/>
      <c r="AD57" s="5"/>
    </row>
    <row r="58" customFormat="false" ht="15" hidden="false" customHeight="false" outlineLevel="0" collapsed="false">
      <c r="A58" s="5"/>
      <c r="B58" s="23" t="s">
        <v>33</v>
      </c>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row>
    <row r="59" customFormat="false" ht="15" hidden="false" customHeight="false" outlineLevel="0" collapsed="false">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row>
    <row r="60" customFormat="false" ht="15" hidden="false" customHeight="false" outlineLevel="0" collapsed="false">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row>
    <row r="61" customFormat="false" ht="19.5" hidden="false" customHeight="true" outlineLevel="0" collapsed="false">
      <c r="A61" s="5"/>
      <c r="B61" s="19" t="s">
        <v>28</v>
      </c>
      <c r="C61" s="20"/>
      <c r="D61" s="20"/>
      <c r="E61" s="20"/>
      <c r="F61" s="20"/>
      <c r="G61" s="20"/>
      <c r="H61" s="5"/>
      <c r="I61" s="5"/>
      <c r="J61" s="5"/>
      <c r="K61" s="5"/>
      <c r="L61" s="5"/>
      <c r="M61" s="5"/>
      <c r="N61" s="5"/>
      <c r="O61" s="5"/>
      <c r="P61" s="5"/>
      <c r="Q61" s="5"/>
      <c r="R61" s="5"/>
      <c r="S61" s="5"/>
      <c r="T61" s="5"/>
      <c r="U61" s="5"/>
      <c r="V61" s="5"/>
      <c r="W61" s="5"/>
      <c r="X61" s="5"/>
      <c r="Y61" s="5"/>
      <c r="Z61" s="5"/>
      <c r="AA61" s="5"/>
      <c r="AB61" s="5"/>
      <c r="AC61" s="5"/>
      <c r="AD61" s="5"/>
    </row>
    <row r="62" customFormat="false" ht="233.25" hidden="false" customHeight="true" outlineLevel="0" collapsed="false">
      <c r="A62" s="5"/>
      <c r="B62" s="21" t="s">
        <v>29</v>
      </c>
      <c r="C62" s="21"/>
      <c r="D62" s="21"/>
      <c r="E62" s="21"/>
      <c r="F62" s="21"/>
      <c r="G62" s="21"/>
      <c r="H62" s="5"/>
      <c r="I62" s="5"/>
      <c r="J62" s="5"/>
      <c r="K62" s="5"/>
      <c r="L62" s="5"/>
      <c r="M62" s="5"/>
      <c r="N62" s="5"/>
      <c r="O62" s="5"/>
      <c r="P62" s="5"/>
      <c r="Q62" s="5"/>
      <c r="R62" s="5"/>
      <c r="S62" s="5"/>
      <c r="T62" s="5"/>
      <c r="U62" s="5"/>
      <c r="V62" s="5"/>
      <c r="W62" s="5"/>
      <c r="X62" s="5"/>
      <c r="Y62" s="5"/>
      <c r="Z62" s="5"/>
      <c r="AA62" s="5"/>
      <c r="AB62" s="5"/>
      <c r="AC62" s="5"/>
      <c r="AD62" s="5"/>
    </row>
    <row r="63" customFormat="false" ht="15" hidden="false" customHeight="false" outlineLevel="0" collapsed="false">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row>
    <row r="64" customFormat="false" ht="19.5" hidden="false" customHeight="true" outlineLevel="0" collapsed="false">
      <c r="A64" s="5"/>
      <c r="B64" s="19" t="s">
        <v>30</v>
      </c>
      <c r="C64" s="20"/>
      <c r="D64" s="20"/>
      <c r="E64" s="20"/>
      <c r="F64" s="20"/>
      <c r="G64" s="20"/>
      <c r="H64" s="5"/>
      <c r="I64" s="5"/>
      <c r="J64" s="5"/>
      <c r="K64" s="5"/>
      <c r="L64" s="5"/>
      <c r="M64" s="5"/>
      <c r="N64" s="5"/>
      <c r="O64" s="5"/>
      <c r="P64" s="5"/>
      <c r="Q64" s="5"/>
      <c r="R64" s="5"/>
      <c r="S64" s="5"/>
      <c r="T64" s="5"/>
      <c r="U64" s="5"/>
      <c r="V64" s="5"/>
      <c r="W64" s="5"/>
      <c r="X64" s="5"/>
      <c r="Y64" s="5"/>
      <c r="Z64" s="5"/>
      <c r="AA64" s="5"/>
      <c r="AB64" s="5"/>
      <c r="AC64" s="5"/>
      <c r="AD64" s="5"/>
    </row>
    <row r="65" customFormat="false" ht="57" hidden="false" customHeight="true" outlineLevel="0" collapsed="false">
      <c r="A65" s="5"/>
      <c r="B65" s="21" t="s">
        <v>31</v>
      </c>
      <c r="C65" s="21"/>
      <c r="D65" s="21"/>
      <c r="E65" s="21"/>
      <c r="F65" s="21"/>
      <c r="G65" s="21"/>
      <c r="H65" s="5"/>
      <c r="I65" s="5"/>
      <c r="J65" s="5"/>
      <c r="K65" s="5"/>
      <c r="L65" s="5"/>
      <c r="M65" s="5"/>
      <c r="N65" s="5"/>
      <c r="O65" s="5"/>
      <c r="P65" s="5"/>
      <c r="Q65" s="5"/>
      <c r="R65" s="5"/>
      <c r="S65" s="5"/>
      <c r="T65" s="5"/>
      <c r="U65" s="5"/>
      <c r="V65" s="5"/>
      <c r="W65" s="5"/>
      <c r="X65" s="5"/>
      <c r="Y65" s="5"/>
      <c r="Z65" s="5"/>
      <c r="AA65" s="5"/>
      <c r="AB65" s="5"/>
      <c r="AC65" s="5"/>
      <c r="AD65" s="5"/>
    </row>
    <row r="66" customFormat="false" ht="15" hidden="false" customHeight="false" outlineLevel="0" collapsed="false">
      <c r="A66" s="5"/>
      <c r="B66" s="22" t="s">
        <v>32</v>
      </c>
      <c r="C66" s="22"/>
      <c r="D66" s="22"/>
      <c r="E66" s="22"/>
      <c r="F66" s="22"/>
      <c r="G66" s="22"/>
      <c r="H66" s="5"/>
      <c r="I66" s="5"/>
      <c r="J66" s="5"/>
      <c r="K66" s="5"/>
      <c r="L66" s="5"/>
      <c r="M66" s="5"/>
      <c r="N66" s="5"/>
      <c r="O66" s="5"/>
      <c r="P66" s="5"/>
      <c r="Q66" s="5"/>
      <c r="R66" s="5"/>
      <c r="S66" s="5"/>
      <c r="T66" s="5"/>
      <c r="U66" s="5"/>
      <c r="V66" s="5"/>
      <c r="W66" s="5"/>
      <c r="X66" s="5"/>
      <c r="Y66" s="5"/>
      <c r="Z66" s="5"/>
      <c r="AA66" s="5"/>
      <c r="AB66" s="5"/>
      <c r="AC66" s="5"/>
      <c r="AD66" s="5"/>
    </row>
    <row r="67" customFormat="false" ht="15" hidden="false" customHeight="false" outlineLevel="0" collapsed="false">
      <c r="A67" s="5"/>
      <c r="B67" s="23" t="s">
        <v>33</v>
      </c>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row>
    <row r="68" customFormat="false" ht="15" hidden="false" customHeight="false" outlineLevel="0" collapsed="false">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row>
    <row r="69" customFormat="false" ht="15" hidden="false" customHeight="false" outlineLevel="0" collapsed="false">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row>
    <row r="70" customFormat="false" ht="19.5" hidden="false" customHeight="true" outlineLevel="0" collapsed="false">
      <c r="A70" s="5"/>
      <c r="B70" s="19" t="s">
        <v>28</v>
      </c>
      <c r="C70" s="20"/>
      <c r="D70" s="20"/>
      <c r="E70" s="20"/>
      <c r="F70" s="20"/>
      <c r="G70" s="20"/>
      <c r="H70" s="5"/>
      <c r="I70" s="5"/>
      <c r="J70" s="5"/>
      <c r="K70" s="5"/>
      <c r="L70" s="5"/>
      <c r="M70" s="5"/>
      <c r="N70" s="5"/>
      <c r="O70" s="5"/>
      <c r="P70" s="5"/>
      <c r="Q70" s="5"/>
      <c r="R70" s="5"/>
      <c r="S70" s="5"/>
      <c r="T70" s="5"/>
      <c r="U70" s="5"/>
      <c r="V70" s="5"/>
      <c r="W70" s="5"/>
      <c r="X70" s="5"/>
      <c r="Y70" s="5"/>
      <c r="Z70" s="5"/>
      <c r="AA70" s="5"/>
      <c r="AB70" s="5"/>
      <c r="AC70" s="5"/>
      <c r="AD70" s="5"/>
    </row>
    <row r="71" customFormat="false" ht="233.25" hidden="false" customHeight="true" outlineLevel="0" collapsed="false">
      <c r="A71" s="5"/>
      <c r="B71" s="21" t="s">
        <v>29</v>
      </c>
      <c r="C71" s="21"/>
      <c r="D71" s="21"/>
      <c r="E71" s="21"/>
      <c r="F71" s="21"/>
      <c r="G71" s="21"/>
      <c r="H71" s="5"/>
      <c r="I71" s="5"/>
      <c r="J71" s="5"/>
      <c r="K71" s="5"/>
      <c r="L71" s="5"/>
      <c r="M71" s="5"/>
      <c r="N71" s="5"/>
      <c r="O71" s="5"/>
      <c r="P71" s="5"/>
      <c r="Q71" s="5"/>
      <c r="R71" s="5"/>
      <c r="S71" s="5"/>
      <c r="T71" s="5"/>
      <c r="U71" s="5"/>
      <c r="V71" s="5"/>
      <c r="W71" s="5"/>
      <c r="X71" s="5"/>
      <c r="Y71" s="5"/>
      <c r="Z71" s="5"/>
      <c r="AA71" s="5"/>
      <c r="AB71" s="5"/>
      <c r="AC71" s="5"/>
      <c r="AD71" s="5"/>
    </row>
    <row r="72" customFormat="false" ht="15" hidden="false" customHeight="false" outlineLevel="0" collapsed="false">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row>
    <row r="73" customFormat="false" ht="19.5" hidden="false" customHeight="true" outlineLevel="0" collapsed="false">
      <c r="A73" s="5"/>
      <c r="B73" s="19" t="s">
        <v>30</v>
      </c>
      <c r="C73" s="20"/>
      <c r="D73" s="20"/>
      <c r="E73" s="20"/>
      <c r="F73" s="20"/>
      <c r="G73" s="20"/>
      <c r="H73" s="5"/>
      <c r="I73" s="5"/>
      <c r="J73" s="5"/>
      <c r="K73" s="5"/>
      <c r="L73" s="5"/>
      <c r="M73" s="5"/>
      <c r="N73" s="5"/>
      <c r="O73" s="5"/>
      <c r="P73" s="5"/>
      <c r="Q73" s="5"/>
      <c r="R73" s="5"/>
      <c r="S73" s="5"/>
      <c r="T73" s="5"/>
      <c r="U73" s="5"/>
      <c r="V73" s="5"/>
      <c r="W73" s="5"/>
      <c r="X73" s="5"/>
      <c r="Y73" s="5"/>
      <c r="Z73" s="5"/>
      <c r="AA73" s="5"/>
      <c r="AB73" s="5"/>
      <c r="AC73" s="5"/>
      <c r="AD73" s="5"/>
    </row>
    <row r="74" customFormat="false" ht="57" hidden="false" customHeight="true" outlineLevel="0" collapsed="false">
      <c r="A74" s="5"/>
      <c r="B74" s="21" t="s">
        <v>31</v>
      </c>
      <c r="C74" s="21"/>
      <c r="D74" s="21"/>
      <c r="E74" s="21"/>
      <c r="F74" s="21"/>
      <c r="G74" s="21"/>
      <c r="H74" s="5"/>
      <c r="I74" s="5"/>
      <c r="J74" s="5"/>
      <c r="K74" s="5"/>
      <c r="L74" s="5"/>
      <c r="M74" s="5"/>
      <c r="N74" s="5"/>
      <c r="O74" s="5"/>
      <c r="P74" s="5"/>
      <c r="Q74" s="5"/>
      <c r="R74" s="5"/>
      <c r="S74" s="5"/>
      <c r="T74" s="5"/>
      <c r="U74" s="5"/>
      <c r="V74" s="5"/>
      <c r="W74" s="5"/>
      <c r="X74" s="5"/>
      <c r="Y74" s="5"/>
      <c r="Z74" s="5"/>
      <c r="AA74" s="5"/>
      <c r="AB74" s="5"/>
      <c r="AC74" s="5"/>
      <c r="AD74" s="5"/>
    </row>
    <row r="75" customFormat="false" ht="15" hidden="false" customHeight="false" outlineLevel="0" collapsed="false">
      <c r="A75" s="5"/>
      <c r="B75" s="22" t="s">
        <v>32</v>
      </c>
      <c r="C75" s="22"/>
      <c r="D75" s="22"/>
      <c r="E75" s="22"/>
      <c r="F75" s="22"/>
      <c r="G75" s="22"/>
      <c r="H75" s="5"/>
      <c r="I75" s="5"/>
      <c r="J75" s="5"/>
      <c r="K75" s="5"/>
      <c r="L75" s="5"/>
      <c r="M75" s="5"/>
      <c r="N75" s="5"/>
      <c r="O75" s="5"/>
      <c r="P75" s="5"/>
      <c r="Q75" s="5"/>
      <c r="R75" s="5"/>
      <c r="S75" s="5"/>
      <c r="T75" s="5"/>
      <c r="U75" s="5"/>
      <c r="V75" s="5"/>
      <c r="W75" s="5"/>
      <c r="X75" s="5"/>
      <c r="Y75" s="5"/>
      <c r="Z75" s="5"/>
      <c r="AA75" s="5"/>
      <c r="AB75" s="5"/>
      <c r="AC75" s="5"/>
      <c r="AD75" s="5"/>
    </row>
    <row r="76" customFormat="false" ht="15" hidden="false" customHeight="false" outlineLevel="0" collapsed="false">
      <c r="A76" s="5"/>
      <c r="B76" s="23" t="s">
        <v>33</v>
      </c>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row>
    <row r="77" customFormat="false" ht="15" hidden="false" customHeight="false" outlineLevel="0" collapsed="false">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row>
    <row r="78" customFormat="false" ht="15" hidden="false" customHeight="false" outlineLevel="0" collapsed="false">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row>
    <row r="79" customFormat="false" ht="19.5" hidden="false" customHeight="true" outlineLevel="0" collapsed="false">
      <c r="A79" s="5"/>
      <c r="B79" s="19" t="s">
        <v>28</v>
      </c>
      <c r="C79" s="20"/>
      <c r="D79" s="20"/>
      <c r="E79" s="20"/>
      <c r="F79" s="20"/>
      <c r="G79" s="20"/>
      <c r="H79" s="5"/>
      <c r="I79" s="5"/>
      <c r="J79" s="5"/>
      <c r="K79" s="5"/>
      <c r="L79" s="5"/>
      <c r="M79" s="5"/>
      <c r="N79" s="5"/>
      <c r="O79" s="5"/>
      <c r="P79" s="5"/>
      <c r="Q79" s="5"/>
      <c r="R79" s="5"/>
      <c r="S79" s="5"/>
      <c r="T79" s="5"/>
      <c r="U79" s="5"/>
      <c r="V79" s="5"/>
      <c r="W79" s="5"/>
      <c r="X79" s="5"/>
      <c r="Y79" s="5"/>
      <c r="Z79" s="5"/>
      <c r="AA79" s="5"/>
      <c r="AB79" s="5"/>
      <c r="AC79" s="5"/>
      <c r="AD79" s="5"/>
    </row>
    <row r="80" customFormat="false" ht="233.25" hidden="false" customHeight="true" outlineLevel="0" collapsed="false">
      <c r="A80" s="5"/>
      <c r="B80" s="21" t="s">
        <v>29</v>
      </c>
      <c r="C80" s="21"/>
      <c r="D80" s="21"/>
      <c r="E80" s="21"/>
      <c r="F80" s="21"/>
      <c r="G80" s="21"/>
      <c r="H80" s="5"/>
      <c r="I80" s="5"/>
      <c r="J80" s="5"/>
      <c r="K80" s="5"/>
      <c r="L80" s="5"/>
      <c r="M80" s="5"/>
      <c r="N80" s="5"/>
      <c r="O80" s="5"/>
      <c r="P80" s="5"/>
      <c r="Q80" s="5"/>
      <c r="R80" s="5"/>
      <c r="S80" s="5"/>
      <c r="T80" s="5"/>
      <c r="U80" s="5"/>
      <c r="V80" s="5"/>
      <c r="W80" s="5"/>
      <c r="X80" s="5"/>
      <c r="Y80" s="5"/>
      <c r="Z80" s="5"/>
      <c r="AA80" s="5"/>
      <c r="AB80" s="5"/>
      <c r="AC80" s="5"/>
      <c r="AD80" s="5"/>
    </row>
    <row r="81" customFormat="false" ht="15" hidden="false" customHeight="false" outlineLevel="0" collapsed="false">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row>
    <row r="82" customFormat="false" ht="19.5" hidden="false" customHeight="true" outlineLevel="0" collapsed="false">
      <c r="A82" s="5"/>
      <c r="B82" s="19" t="s">
        <v>30</v>
      </c>
      <c r="C82" s="20"/>
      <c r="D82" s="20"/>
      <c r="E82" s="20"/>
      <c r="F82" s="20"/>
      <c r="G82" s="20"/>
      <c r="H82" s="5"/>
      <c r="I82" s="5"/>
      <c r="J82" s="5"/>
      <c r="K82" s="5"/>
      <c r="L82" s="5"/>
      <c r="M82" s="5"/>
      <c r="N82" s="5"/>
      <c r="O82" s="5"/>
      <c r="P82" s="5"/>
      <c r="Q82" s="5"/>
      <c r="R82" s="5"/>
      <c r="S82" s="5"/>
      <c r="T82" s="5"/>
      <c r="U82" s="5"/>
      <c r="V82" s="5"/>
      <c r="W82" s="5"/>
      <c r="X82" s="5"/>
      <c r="Y82" s="5"/>
      <c r="Z82" s="5"/>
      <c r="AA82" s="5"/>
      <c r="AB82" s="5"/>
      <c r="AC82" s="5"/>
      <c r="AD82" s="5"/>
    </row>
    <row r="83" customFormat="false" ht="57" hidden="false" customHeight="true" outlineLevel="0" collapsed="false">
      <c r="A83" s="5"/>
      <c r="B83" s="21" t="s">
        <v>31</v>
      </c>
      <c r="C83" s="21"/>
      <c r="D83" s="21"/>
      <c r="E83" s="21"/>
      <c r="F83" s="21"/>
      <c r="G83" s="21"/>
      <c r="H83" s="5"/>
      <c r="I83" s="5"/>
      <c r="J83" s="5"/>
      <c r="K83" s="5"/>
      <c r="L83" s="5"/>
      <c r="M83" s="5"/>
      <c r="N83" s="5"/>
      <c r="O83" s="5"/>
      <c r="P83" s="5"/>
      <c r="Q83" s="5"/>
      <c r="R83" s="5"/>
      <c r="S83" s="5"/>
      <c r="T83" s="5"/>
      <c r="U83" s="5"/>
      <c r="V83" s="5"/>
      <c r="W83" s="5"/>
      <c r="X83" s="5"/>
      <c r="Y83" s="5"/>
      <c r="Z83" s="5"/>
      <c r="AA83" s="5"/>
      <c r="AB83" s="5"/>
      <c r="AC83" s="5"/>
      <c r="AD83" s="5"/>
    </row>
    <row r="84" customFormat="false" ht="15" hidden="false" customHeight="false" outlineLevel="0" collapsed="false">
      <c r="A84" s="5"/>
      <c r="B84" s="22" t="s">
        <v>32</v>
      </c>
      <c r="C84" s="22"/>
      <c r="D84" s="22"/>
      <c r="E84" s="22"/>
      <c r="F84" s="22"/>
      <c r="G84" s="22"/>
      <c r="H84" s="5"/>
      <c r="I84" s="5"/>
      <c r="J84" s="5"/>
      <c r="K84" s="5"/>
      <c r="L84" s="5"/>
      <c r="M84" s="5"/>
      <c r="N84" s="5"/>
      <c r="O84" s="5"/>
      <c r="P84" s="5"/>
      <c r="Q84" s="5"/>
      <c r="R84" s="5"/>
      <c r="S84" s="5"/>
      <c r="T84" s="5"/>
      <c r="U84" s="5"/>
      <c r="V84" s="5"/>
      <c r="W84" s="5"/>
      <c r="X84" s="5"/>
      <c r="Y84" s="5"/>
      <c r="Z84" s="5"/>
      <c r="AA84" s="5"/>
      <c r="AB84" s="5"/>
      <c r="AC84" s="5"/>
      <c r="AD84" s="5"/>
    </row>
    <row r="85" customFormat="false" ht="15" hidden="false" customHeight="false" outlineLevel="0" collapsed="false">
      <c r="A85" s="5"/>
      <c r="B85" s="23" t="s">
        <v>33</v>
      </c>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row>
    <row r="86" customFormat="false" ht="15" hidden="false" customHeight="false" outlineLevel="0" collapsed="false">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row>
    <row r="87" customFormat="false" ht="15" hidden="false" customHeight="false" outlineLevel="0" collapsed="false">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row>
    <row r="88" customFormat="false" ht="19.5" hidden="false" customHeight="true" outlineLevel="0" collapsed="false">
      <c r="A88" s="5"/>
      <c r="B88" s="19" t="s">
        <v>28</v>
      </c>
      <c r="C88" s="20"/>
      <c r="D88" s="20"/>
      <c r="E88" s="20"/>
      <c r="F88" s="20"/>
      <c r="G88" s="20"/>
      <c r="H88" s="5"/>
      <c r="I88" s="5"/>
      <c r="J88" s="5"/>
      <c r="K88" s="5"/>
      <c r="L88" s="5"/>
      <c r="M88" s="5"/>
      <c r="N88" s="5"/>
      <c r="O88" s="5"/>
      <c r="P88" s="5"/>
      <c r="Q88" s="5"/>
      <c r="R88" s="5"/>
      <c r="S88" s="5"/>
      <c r="T88" s="5"/>
      <c r="U88" s="5"/>
      <c r="V88" s="5"/>
      <c r="W88" s="5"/>
      <c r="X88" s="5"/>
      <c r="Y88" s="5"/>
      <c r="Z88" s="5"/>
      <c r="AA88" s="5"/>
      <c r="AB88" s="5"/>
      <c r="AC88" s="5"/>
      <c r="AD88" s="5"/>
    </row>
    <row r="89" customFormat="false" ht="233.25" hidden="false" customHeight="true" outlineLevel="0" collapsed="false">
      <c r="A89" s="5"/>
      <c r="B89" s="21" t="s">
        <v>29</v>
      </c>
      <c r="C89" s="21"/>
      <c r="D89" s="21"/>
      <c r="E89" s="21"/>
      <c r="F89" s="21"/>
      <c r="G89" s="21"/>
      <c r="H89" s="5"/>
      <c r="I89" s="5"/>
      <c r="J89" s="5"/>
      <c r="K89" s="5"/>
      <c r="L89" s="5"/>
      <c r="M89" s="5"/>
      <c r="N89" s="5"/>
      <c r="O89" s="5"/>
      <c r="P89" s="5"/>
      <c r="Q89" s="5"/>
      <c r="R89" s="5"/>
      <c r="S89" s="5"/>
      <c r="T89" s="5"/>
      <c r="U89" s="5"/>
      <c r="V89" s="5"/>
      <c r="W89" s="5"/>
      <c r="X89" s="5"/>
      <c r="Y89" s="5"/>
      <c r="Z89" s="5"/>
      <c r="AA89" s="5"/>
      <c r="AB89" s="5"/>
      <c r="AC89" s="5"/>
      <c r="AD89" s="5"/>
    </row>
    <row r="90" customFormat="false" ht="15" hidden="false" customHeight="false" outlineLevel="0" collapsed="false">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row>
    <row r="91" customFormat="false" ht="19.5" hidden="false" customHeight="true" outlineLevel="0" collapsed="false">
      <c r="A91" s="5"/>
      <c r="B91" s="19" t="s">
        <v>30</v>
      </c>
      <c r="C91" s="20"/>
      <c r="D91" s="20"/>
      <c r="E91" s="20"/>
      <c r="F91" s="20"/>
      <c r="G91" s="20"/>
      <c r="H91" s="5"/>
      <c r="I91" s="5"/>
      <c r="J91" s="5"/>
      <c r="K91" s="5"/>
      <c r="L91" s="5"/>
      <c r="M91" s="5"/>
      <c r="N91" s="5"/>
      <c r="O91" s="5"/>
      <c r="P91" s="5"/>
      <c r="Q91" s="5"/>
      <c r="R91" s="5"/>
      <c r="S91" s="5"/>
      <c r="T91" s="5"/>
      <c r="U91" s="5"/>
      <c r="V91" s="5"/>
      <c r="W91" s="5"/>
      <c r="X91" s="5"/>
      <c r="Y91" s="5"/>
      <c r="Z91" s="5"/>
      <c r="AA91" s="5"/>
      <c r="AB91" s="5"/>
      <c r="AC91" s="5"/>
      <c r="AD91" s="5"/>
    </row>
    <row r="92" customFormat="false" ht="57" hidden="false" customHeight="true" outlineLevel="0" collapsed="false">
      <c r="A92" s="5"/>
      <c r="B92" s="21" t="s">
        <v>31</v>
      </c>
      <c r="C92" s="21"/>
      <c r="D92" s="21"/>
      <c r="E92" s="21"/>
      <c r="F92" s="21"/>
      <c r="G92" s="21"/>
      <c r="H92" s="5"/>
      <c r="I92" s="5"/>
      <c r="J92" s="5"/>
      <c r="K92" s="5"/>
      <c r="L92" s="5"/>
      <c r="M92" s="5"/>
      <c r="N92" s="5"/>
      <c r="O92" s="5"/>
      <c r="P92" s="5"/>
      <c r="Q92" s="5"/>
      <c r="R92" s="5"/>
      <c r="S92" s="5"/>
      <c r="T92" s="5"/>
      <c r="U92" s="5"/>
      <c r="V92" s="5"/>
      <c r="W92" s="5"/>
      <c r="X92" s="5"/>
      <c r="Y92" s="5"/>
      <c r="Z92" s="5"/>
      <c r="AA92" s="5"/>
      <c r="AB92" s="5"/>
      <c r="AC92" s="5"/>
      <c r="AD92" s="5"/>
    </row>
    <row r="93" customFormat="false" ht="15" hidden="false" customHeight="false" outlineLevel="0" collapsed="false">
      <c r="A93" s="5"/>
      <c r="B93" s="22" t="s">
        <v>32</v>
      </c>
      <c r="C93" s="22"/>
      <c r="D93" s="22"/>
      <c r="E93" s="22"/>
      <c r="F93" s="22"/>
      <c r="G93" s="22"/>
      <c r="H93" s="5"/>
      <c r="I93" s="5"/>
      <c r="J93" s="5"/>
      <c r="K93" s="5"/>
      <c r="L93" s="5"/>
      <c r="M93" s="5"/>
      <c r="N93" s="5"/>
      <c r="O93" s="5"/>
      <c r="P93" s="5"/>
      <c r="Q93" s="5"/>
      <c r="R93" s="5"/>
      <c r="S93" s="5"/>
      <c r="T93" s="5"/>
      <c r="U93" s="5"/>
      <c r="V93" s="5"/>
      <c r="W93" s="5"/>
      <c r="X93" s="5"/>
      <c r="Y93" s="5"/>
      <c r="Z93" s="5"/>
      <c r="AA93" s="5"/>
      <c r="AB93" s="5"/>
      <c r="AC93" s="5"/>
      <c r="AD93" s="5"/>
    </row>
    <row r="94" customFormat="false" ht="15" hidden="false" customHeight="false" outlineLevel="0" collapsed="false">
      <c r="A94" s="5"/>
      <c r="B94" s="23" t="s">
        <v>33</v>
      </c>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row>
    <row r="95" customFormat="false" ht="15" hidden="false" customHeight="false" outlineLevel="0" collapsed="false">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row>
    <row r="96" customFormat="false" ht="15" hidden="false" customHeight="false" outlineLevel="0" collapsed="false">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row>
    <row r="97" customFormat="false" ht="19.5" hidden="false" customHeight="true" outlineLevel="0" collapsed="false">
      <c r="A97" s="5"/>
      <c r="B97" s="19" t="s">
        <v>28</v>
      </c>
      <c r="C97" s="20"/>
      <c r="D97" s="20"/>
      <c r="E97" s="20"/>
      <c r="F97" s="20"/>
      <c r="G97" s="20"/>
      <c r="H97" s="5"/>
      <c r="I97" s="5"/>
      <c r="J97" s="5"/>
      <c r="K97" s="5"/>
      <c r="L97" s="5"/>
      <c r="M97" s="5"/>
      <c r="N97" s="5"/>
      <c r="O97" s="5"/>
      <c r="P97" s="5"/>
      <c r="Q97" s="5"/>
      <c r="R97" s="5"/>
      <c r="S97" s="5"/>
      <c r="T97" s="5"/>
      <c r="U97" s="5"/>
      <c r="V97" s="5"/>
      <c r="W97" s="5"/>
      <c r="X97" s="5"/>
      <c r="Y97" s="5"/>
      <c r="Z97" s="5"/>
      <c r="AA97" s="5"/>
      <c r="AB97" s="5"/>
      <c r="AC97" s="5"/>
      <c r="AD97" s="5"/>
    </row>
    <row r="98" customFormat="false" ht="233.25" hidden="false" customHeight="true" outlineLevel="0" collapsed="false">
      <c r="A98" s="5"/>
      <c r="B98" s="21" t="s">
        <v>29</v>
      </c>
      <c r="C98" s="21"/>
      <c r="D98" s="21"/>
      <c r="E98" s="21"/>
      <c r="F98" s="21"/>
      <c r="G98" s="21"/>
      <c r="H98" s="5"/>
      <c r="I98" s="5"/>
      <c r="J98" s="5"/>
      <c r="K98" s="5"/>
      <c r="L98" s="5"/>
      <c r="M98" s="5"/>
      <c r="N98" s="5"/>
      <c r="O98" s="5"/>
      <c r="P98" s="5"/>
      <c r="Q98" s="5"/>
      <c r="R98" s="5"/>
      <c r="S98" s="5"/>
      <c r="T98" s="5"/>
      <c r="U98" s="5"/>
      <c r="V98" s="5"/>
      <c r="W98" s="5"/>
      <c r="X98" s="5"/>
      <c r="Y98" s="5"/>
      <c r="Z98" s="5"/>
      <c r="AA98" s="5"/>
      <c r="AB98" s="5"/>
      <c r="AC98" s="5"/>
      <c r="AD98" s="5"/>
    </row>
    <row r="99" customFormat="false" ht="15" hidden="false" customHeight="false" outlineLevel="0" collapsed="false">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row>
    <row r="100" customFormat="false" ht="19.5" hidden="false" customHeight="true" outlineLevel="0" collapsed="false">
      <c r="A100" s="5"/>
      <c r="B100" s="19" t="s">
        <v>30</v>
      </c>
      <c r="C100" s="20"/>
      <c r="D100" s="20"/>
      <c r="E100" s="20"/>
      <c r="F100" s="20"/>
      <c r="G100" s="20"/>
      <c r="H100" s="5"/>
      <c r="I100" s="5"/>
      <c r="J100" s="5"/>
      <c r="K100" s="5"/>
      <c r="L100" s="5"/>
      <c r="M100" s="5"/>
      <c r="N100" s="5"/>
      <c r="O100" s="5"/>
      <c r="P100" s="5"/>
      <c r="Q100" s="5"/>
      <c r="R100" s="5"/>
      <c r="S100" s="5"/>
      <c r="T100" s="5"/>
      <c r="U100" s="5"/>
      <c r="V100" s="5"/>
      <c r="W100" s="5"/>
      <c r="X100" s="5"/>
      <c r="Y100" s="5"/>
      <c r="Z100" s="5"/>
      <c r="AA100" s="5"/>
      <c r="AB100" s="5"/>
      <c r="AC100" s="5"/>
      <c r="AD100" s="5"/>
    </row>
    <row r="101" customFormat="false" ht="57" hidden="false" customHeight="true" outlineLevel="0" collapsed="false">
      <c r="A101" s="5"/>
      <c r="B101" s="21" t="s">
        <v>31</v>
      </c>
      <c r="C101" s="21"/>
      <c r="D101" s="21"/>
      <c r="E101" s="21"/>
      <c r="F101" s="21"/>
      <c r="G101" s="21"/>
      <c r="H101" s="5"/>
      <c r="I101" s="5"/>
      <c r="J101" s="5"/>
      <c r="K101" s="5"/>
      <c r="L101" s="5"/>
      <c r="M101" s="5"/>
      <c r="N101" s="5"/>
      <c r="O101" s="5"/>
      <c r="P101" s="5"/>
      <c r="Q101" s="5"/>
      <c r="R101" s="5"/>
      <c r="S101" s="5"/>
      <c r="T101" s="5"/>
      <c r="U101" s="5"/>
      <c r="V101" s="5"/>
      <c r="W101" s="5"/>
      <c r="X101" s="5"/>
      <c r="Y101" s="5"/>
      <c r="Z101" s="5"/>
      <c r="AA101" s="5"/>
      <c r="AB101" s="5"/>
      <c r="AC101" s="5"/>
      <c r="AD101" s="5"/>
    </row>
    <row r="102" customFormat="false" ht="15" hidden="false" customHeight="false" outlineLevel="0" collapsed="false">
      <c r="A102" s="5"/>
      <c r="B102" s="22" t="s">
        <v>32</v>
      </c>
      <c r="C102" s="22"/>
      <c r="D102" s="22"/>
      <c r="E102" s="22"/>
      <c r="F102" s="22"/>
      <c r="G102" s="22"/>
      <c r="H102" s="5"/>
      <c r="I102" s="5"/>
      <c r="J102" s="5"/>
      <c r="K102" s="5"/>
      <c r="L102" s="5"/>
      <c r="M102" s="5"/>
      <c r="N102" s="5"/>
      <c r="O102" s="5"/>
      <c r="P102" s="5"/>
      <c r="Q102" s="5"/>
      <c r="R102" s="5"/>
      <c r="S102" s="5"/>
      <c r="T102" s="5"/>
      <c r="U102" s="5"/>
      <c r="V102" s="5"/>
      <c r="W102" s="5"/>
      <c r="X102" s="5"/>
      <c r="Y102" s="5"/>
      <c r="Z102" s="5"/>
      <c r="AA102" s="5"/>
      <c r="AB102" s="5"/>
      <c r="AC102" s="5"/>
      <c r="AD102" s="5"/>
    </row>
    <row r="103" customFormat="false" ht="15" hidden="false" customHeight="false" outlineLevel="0" collapsed="false">
      <c r="A103" s="5"/>
      <c r="B103" s="23" t="s">
        <v>33</v>
      </c>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row>
    <row r="104" customFormat="false" ht="15" hidden="false" customHeight="false" outlineLevel="0" collapsed="false">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row>
    <row r="105" customFormat="false" ht="15" hidden="false" customHeight="false" outlineLevel="0" collapsed="false">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row>
    <row r="106" customFormat="false" ht="19.5" hidden="false" customHeight="true" outlineLevel="0" collapsed="false">
      <c r="A106" s="5"/>
      <c r="B106" s="24" t="s">
        <v>28</v>
      </c>
      <c r="C106" s="25"/>
      <c r="D106" s="25"/>
      <c r="E106" s="25"/>
      <c r="F106" s="25"/>
      <c r="G106" s="25"/>
      <c r="H106" s="5"/>
      <c r="I106" s="5"/>
      <c r="J106" s="5"/>
      <c r="K106" s="5"/>
      <c r="L106" s="5"/>
      <c r="M106" s="5"/>
      <c r="N106" s="5"/>
      <c r="O106" s="5"/>
      <c r="P106" s="5"/>
      <c r="Q106" s="5"/>
      <c r="R106" s="5"/>
      <c r="S106" s="5"/>
      <c r="T106" s="5"/>
      <c r="U106" s="5"/>
      <c r="V106" s="5"/>
      <c r="W106" s="5"/>
      <c r="X106" s="5"/>
      <c r="Y106" s="5"/>
      <c r="Z106" s="5"/>
      <c r="AA106" s="5"/>
      <c r="AB106" s="5"/>
      <c r="AC106" s="5"/>
      <c r="AD106" s="5"/>
    </row>
    <row r="107" customFormat="false" ht="233.25" hidden="false" customHeight="true" outlineLevel="0" collapsed="false">
      <c r="A107" s="5"/>
      <c r="B107" s="21" t="s">
        <v>29</v>
      </c>
      <c r="C107" s="21"/>
      <c r="D107" s="21"/>
      <c r="E107" s="21"/>
      <c r="F107" s="21"/>
      <c r="G107" s="21"/>
      <c r="H107" s="5"/>
      <c r="I107" s="5"/>
      <c r="J107" s="5"/>
      <c r="K107" s="5"/>
      <c r="L107" s="5"/>
      <c r="M107" s="5"/>
      <c r="N107" s="5"/>
      <c r="O107" s="5"/>
      <c r="P107" s="5"/>
      <c r="Q107" s="5"/>
      <c r="R107" s="5"/>
      <c r="S107" s="5"/>
      <c r="T107" s="5"/>
      <c r="U107" s="5"/>
      <c r="V107" s="5"/>
      <c r="W107" s="5"/>
      <c r="X107" s="5"/>
      <c r="Y107" s="5"/>
      <c r="Z107" s="5"/>
      <c r="AA107" s="5"/>
      <c r="AB107" s="5"/>
      <c r="AC107" s="5"/>
      <c r="AD107" s="5"/>
    </row>
    <row r="108" customFormat="false" ht="15" hidden="false" customHeight="false" outlineLevel="0" collapsed="false">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row>
    <row r="109" customFormat="false" ht="19.5" hidden="false" customHeight="true" outlineLevel="0" collapsed="false">
      <c r="A109" s="5"/>
      <c r="B109" s="24" t="s">
        <v>30</v>
      </c>
      <c r="C109" s="25"/>
      <c r="D109" s="25"/>
      <c r="E109" s="25"/>
      <c r="F109" s="25"/>
      <c r="G109" s="25"/>
      <c r="H109" s="5"/>
      <c r="I109" s="5"/>
      <c r="J109" s="5"/>
      <c r="K109" s="5"/>
      <c r="L109" s="5"/>
      <c r="M109" s="5"/>
      <c r="N109" s="5"/>
      <c r="O109" s="5"/>
      <c r="P109" s="5"/>
      <c r="Q109" s="5"/>
      <c r="R109" s="5"/>
      <c r="S109" s="5"/>
      <c r="T109" s="5"/>
      <c r="U109" s="5"/>
      <c r="V109" s="5"/>
      <c r="W109" s="5"/>
      <c r="X109" s="5"/>
      <c r="Y109" s="5"/>
      <c r="Z109" s="5"/>
      <c r="AA109" s="5"/>
      <c r="AB109" s="5"/>
      <c r="AC109" s="5"/>
      <c r="AD109" s="5"/>
    </row>
    <row r="110" customFormat="false" ht="57" hidden="false" customHeight="true" outlineLevel="0" collapsed="false">
      <c r="A110" s="5"/>
      <c r="B110" s="21" t="s">
        <v>31</v>
      </c>
      <c r="C110" s="21"/>
      <c r="D110" s="21"/>
      <c r="E110" s="21"/>
      <c r="F110" s="21"/>
      <c r="G110" s="21"/>
      <c r="H110" s="5"/>
      <c r="I110" s="5"/>
      <c r="J110" s="5"/>
      <c r="K110" s="5"/>
      <c r="L110" s="5"/>
      <c r="M110" s="5"/>
      <c r="N110" s="5"/>
      <c r="O110" s="5"/>
      <c r="P110" s="5"/>
      <c r="Q110" s="5"/>
      <c r="R110" s="5"/>
      <c r="S110" s="5"/>
      <c r="T110" s="5"/>
      <c r="U110" s="5"/>
      <c r="V110" s="5"/>
      <c r="W110" s="5"/>
      <c r="X110" s="5"/>
      <c r="Y110" s="5"/>
      <c r="Z110" s="5"/>
      <c r="AA110" s="5"/>
      <c r="AB110" s="5"/>
      <c r="AC110" s="5"/>
      <c r="AD110" s="5"/>
    </row>
    <row r="111" customFormat="false" ht="15" hidden="false" customHeight="false" outlineLevel="0" collapsed="false">
      <c r="A111" s="5"/>
      <c r="B111" s="22" t="s">
        <v>32</v>
      </c>
      <c r="C111" s="22"/>
      <c r="D111" s="22"/>
      <c r="E111" s="22"/>
      <c r="F111" s="22"/>
      <c r="G111" s="22"/>
      <c r="H111" s="5"/>
      <c r="I111" s="5"/>
      <c r="J111" s="5"/>
      <c r="K111" s="5"/>
      <c r="L111" s="5"/>
      <c r="M111" s="5"/>
      <c r="N111" s="5"/>
      <c r="O111" s="5"/>
      <c r="P111" s="5"/>
      <c r="Q111" s="5"/>
      <c r="R111" s="5"/>
      <c r="S111" s="5"/>
      <c r="T111" s="5"/>
      <c r="U111" s="5"/>
      <c r="V111" s="5"/>
      <c r="W111" s="5"/>
      <c r="X111" s="5"/>
      <c r="Y111" s="5"/>
      <c r="Z111" s="5"/>
      <c r="AA111" s="5"/>
      <c r="AB111" s="5"/>
      <c r="AC111" s="5"/>
      <c r="AD111" s="5"/>
    </row>
    <row r="112" customFormat="false" ht="15" hidden="false" customHeight="false" outlineLevel="0" collapsed="false">
      <c r="A112" s="5"/>
      <c r="B112" s="26" t="s">
        <v>33</v>
      </c>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row>
  </sheetData>
  <mergeCells count="30">
    <mergeCell ref="B26:G26"/>
    <mergeCell ref="B29:G29"/>
    <mergeCell ref="B30:G30"/>
    <mergeCell ref="B35:G35"/>
    <mergeCell ref="B38:G38"/>
    <mergeCell ref="B39:G39"/>
    <mergeCell ref="B44:G44"/>
    <mergeCell ref="B47:G47"/>
    <mergeCell ref="B48:G48"/>
    <mergeCell ref="B53:G53"/>
    <mergeCell ref="B56:G56"/>
    <mergeCell ref="B57:G57"/>
    <mergeCell ref="B62:G62"/>
    <mergeCell ref="B65:G65"/>
    <mergeCell ref="B66:G66"/>
    <mergeCell ref="B71:G71"/>
    <mergeCell ref="B74:G74"/>
    <mergeCell ref="B75:G75"/>
    <mergeCell ref="B80:G80"/>
    <mergeCell ref="B83:G83"/>
    <mergeCell ref="B84:G84"/>
    <mergeCell ref="B89:G89"/>
    <mergeCell ref="B92:G92"/>
    <mergeCell ref="B93:G93"/>
    <mergeCell ref="B98:G98"/>
    <mergeCell ref="B101:G101"/>
    <mergeCell ref="B102:G102"/>
    <mergeCell ref="B107:G107"/>
    <mergeCell ref="B110:G110"/>
    <mergeCell ref="B111:G111"/>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68" t="s">
        <v>234</v>
      </c>
    </row>
    <row r="3" customFormat="false" ht="3.75" hidden="false" customHeight="true" outlineLevel="0" collapsed="false">
      <c r="A3" s="5"/>
      <c r="B3" s="69"/>
    </row>
    <row r="4" customFormat="false" ht="15" hidden="false" customHeight="false" outlineLevel="0" collapsed="false">
      <c r="A4" s="5"/>
      <c r="B4" s="5"/>
    </row>
    <row r="5" customFormat="false" ht="19.5" hidden="false" customHeight="true" outlineLevel="0" collapsed="false">
      <c r="A5" s="5"/>
      <c r="B5" s="70" t="s">
        <v>235</v>
      </c>
    </row>
    <row r="6" customFormat="false" ht="48" hidden="false" customHeight="true" outlineLevel="0" collapsed="false">
      <c r="A6" s="5"/>
      <c r="B6" s="71" t="s">
        <v>236</v>
      </c>
    </row>
    <row r="7" customFormat="false" ht="15" hidden="false" customHeight="false" outlineLevel="0" collapsed="false">
      <c r="A7" s="5"/>
      <c r="B7" s="5"/>
    </row>
    <row r="8" customFormat="false" ht="19.5" hidden="false" customHeight="true" outlineLevel="0" collapsed="false">
      <c r="A8" s="5"/>
      <c r="B8" s="70" t="s">
        <v>237</v>
      </c>
    </row>
    <row r="9" customFormat="false" ht="61.5" hidden="false" customHeight="true" outlineLevel="0" collapsed="false">
      <c r="A9" s="5"/>
      <c r="B9" s="71" t="s">
        <v>238</v>
      </c>
    </row>
    <row r="10" customFormat="false" ht="15" hidden="false" customHeight="false" outlineLevel="0" collapsed="false">
      <c r="A10" s="5"/>
      <c r="B10" s="5"/>
    </row>
    <row r="11" customFormat="false" ht="19.5" hidden="false" customHeight="true" outlineLevel="0" collapsed="false">
      <c r="A11" s="5"/>
      <c r="B11" s="70" t="s">
        <v>239</v>
      </c>
    </row>
    <row r="12" customFormat="false" ht="75.75" hidden="false" customHeight="true" outlineLevel="0" collapsed="false">
      <c r="A12" s="5"/>
      <c r="B12" s="71" t="s">
        <v>240</v>
      </c>
    </row>
    <row r="13" customFormat="false" ht="15" hidden="false" customHeight="false" outlineLevel="0" collapsed="false">
      <c r="A13" s="5"/>
      <c r="B13" s="5"/>
    </row>
    <row r="14" customFormat="false" ht="19.5" hidden="false" customHeight="true" outlineLevel="0" collapsed="false">
      <c r="A14" s="5"/>
      <c r="B14" s="70" t="s">
        <v>241</v>
      </c>
    </row>
    <row r="15" customFormat="false" ht="61.5" hidden="false" customHeight="true" outlineLevel="0" collapsed="false">
      <c r="A15" s="5"/>
      <c r="B15" s="71" t="s">
        <v>242</v>
      </c>
    </row>
    <row r="16" customFormat="false" ht="15" hidden="false" customHeight="false" outlineLevel="0" collapsed="false">
      <c r="A16" s="5"/>
      <c r="B16" s="5"/>
    </row>
    <row r="17" customFormat="false" ht="19.5" hidden="false" customHeight="true" outlineLevel="0" collapsed="false">
      <c r="A17" s="5"/>
      <c r="B17" s="70" t="s">
        <v>243</v>
      </c>
    </row>
    <row r="18" customFormat="false" ht="33.75" hidden="false" customHeight="true" outlineLevel="0" collapsed="false">
      <c r="A18" s="5"/>
      <c r="B18" s="71" t="s">
        <v>244</v>
      </c>
    </row>
    <row r="19" customFormat="false" ht="15" hidden="false" customHeight="false" outlineLevel="0" collapsed="false">
      <c r="A19" s="5"/>
      <c r="B19" s="5"/>
    </row>
    <row r="20" customFormat="false" ht="19.5" hidden="false" customHeight="true" outlineLevel="0" collapsed="false">
      <c r="A20" s="5"/>
      <c r="B20" s="70" t="s">
        <v>245</v>
      </c>
    </row>
    <row r="21" customFormat="false" ht="33.75" hidden="false" customHeight="true" outlineLevel="0" collapsed="false">
      <c r="A21" s="5"/>
      <c r="B21" s="71" t="s">
        <v>246</v>
      </c>
    </row>
    <row r="22" customFormat="false" ht="15" hidden="false" customHeight="false" outlineLevel="0" collapsed="false">
      <c r="A22" s="5"/>
      <c r="B22" s="5"/>
    </row>
    <row r="23" customFormat="false" ht="21.75" hidden="false" customHeight="true" outlineLevel="0" collapsed="false">
      <c r="A23" s="5"/>
      <c r="B23" s="72" t="s">
        <v>247</v>
      </c>
    </row>
    <row r="24" customFormat="false" ht="15" hidden="false" customHeight="false" outlineLevel="0" collapsed="false">
      <c r="A24" s="5"/>
      <c r="B24" s="5"/>
    </row>
    <row r="25" customFormat="false" ht="18" hidden="false" customHeight="true" outlineLevel="0" collapsed="false">
      <c r="A25" s="5"/>
      <c r="B25" s="73" t="s">
        <v>248</v>
      </c>
    </row>
    <row r="26" customFormat="false" ht="201.75" hidden="false" customHeight="true" outlineLevel="0" collapsed="false">
      <c r="A26" s="5"/>
      <c r="B26" s="74" t="s">
        <v>249</v>
      </c>
    </row>
    <row r="27" customFormat="false" ht="15" hidden="false" customHeight="false" outlineLevel="0" collapsed="false">
      <c r="A27" s="5"/>
      <c r="B27" s="5"/>
    </row>
    <row r="28" customFormat="false" ht="18" hidden="false" customHeight="true" outlineLevel="0" collapsed="false">
      <c r="A28" s="5"/>
      <c r="B28" s="75" t="s">
        <v>250</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4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16"/>
    <col collapsed="false" customWidth="true" hidden="false" outlineLevel="0" max="4" min="4" style="0" width="14"/>
    <col collapsed="false" customWidth="true" hidden="false" outlineLevel="0" max="5" min="5" style="0" width="38"/>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12</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34</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3" t="s">
        <v>35</v>
      </c>
      <c r="C4" s="27" t="s">
        <v>36</v>
      </c>
      <c r="D4" s="27" t="s">
        <v>37</v>
      </c>
      <c r="E4" s="27" t="s">
        <v>38</v>
      </c>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5"/>
      <c r="C5" s="5"/>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28" t="s">
        <v>39</v>
      </c>
      <c r="C6" s="20"/>
      <c r="D6" s="20"/>
      <c r="E6" s="20"/>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29" t="s">
        <v>4</v>
      </c>
      <c r="C7" s="30" t="n">
        <v>350</v>
      </c>
      <c r="D7" s="31" t="s">
        <v>40</v>
      </c>
      <c r="E7" s="12" t="s">
        <v>41</v>
      </c>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29" t="s">
        <v>42</v>
      </c>
      <c r="C8" s="32" t="n">
        <v>0.65</v>
      </c>
      <c r="D8" s="31" t="s">
        <v>43</v>
      </c>
      <c r="E8" s="12" t="s">
        <v>44</v>
      </c>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29" t="s">
        <v>45</v>
      </c>
      <c r="C9" s="33" t="n">
        <f aca="false">ROUND(Total_Beds*Ensuite_Pct,0)</f>
        <v>228</v>
      </c>
      <c r="D9" s="31" t="s">
        <v>40</v>
      </c>
      <c r="E9" s="12" t="s">
        <v>46</v>
      </c>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34" t="s">
        <v>47</v>
      </c>
      <c r="C10" s="33" t="n">
        <f aca="false">Total_Beds-Ensuite_Beds</f>
        <v>122</v>
      </c>
      <c r="D10" s="35" t="s">
        <v>40</v>
      </c>
      <c r="E10" s="36" t="s">
        <v>48</v>
      </c>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29" t="s">
        <v>49</v>
      </c>
      <c r="C11" s="30" t="n">
        <v>185</v>
      </c>
      <c r="D11" s="31" t="s">
        <v>50</v>
      </c>
      <c r="E11" s="12" t="s">
        <v>51</v>
      </c>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29" t="s">
        <v>52</v>
      </c>
      <c r="C12" s="30" t="n">
        <v>245</v>
      </c>
      <c r="D12" s="31" t="s">
        <v>50</v>
      </c>
      <c r="E12" s="12" t="s">
        <v>53</v>
      </c>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29" t="s">
        <v>54</v>
      </c>
      <c r="C13" s="32" t="n">
        <v>0.035</v>
      </c>
      <c r="D13" s="31" t="s">
        <v>55</v>
      </c>
      <c r="E13" s="12" t="s">
        <v>56</v>
      </c>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29" t="s">
        <v>57</v>
      </c>
      <c r="C14" s="30" t="n">
        <v>44</v>
      </c>
      <c r="D14" s="31" t="s">
        <v>58</v>
      </c>
      <c r="E14" s="12" t="s">
        <v>59</v>
      </c>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29" t="s">
        <v>60</v>
      </c>
      <c r="C15" s="30" t="n">
        <v>8</v>
      </c>
      <c r="D15" s="31" t="s">
        <v>58</v>
      </c>
      <c r="E15" s="12" t="s">
        <v>61</v>
      </c>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29" t="s">
        <v>62</v>
      </c>
      <c r="C16" s="32" t="n">
        <v>0.9</v>
      </c>
      <c r="D16" s="31" t="s">
        <v>43</v>
      </c>
      <c r="E16" s="12" t="s">
        <v>63</v>
      </c>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29" t="s">
        <v>64</v>
      </c>
      <c r="C17" s="32" t="n">
        <v>0.98</v>
      </c>
      <c r="D17" s="31" t="s">
        <v>43</v>
      </c>
      <c r="E17" s="12" t="s">
        <v>65</v>
      </c>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29" t="s">
        <v>66</v>
      </c>
      <c r="C18" s="32" t="n">
        <v>0.6</v>
      </c>
      <c r="D18" s="31" t="s">
        <v>43</v>
      </c>
      <c r="E18" s="12" t="s">
        <v>67</v>
      </c>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29" t="s">
        <v>68</v>
      </c>
      <c r="C19" s="32" t="n">
        <v>0.55</v>
      </c>
      <c r="D19" s="31" t="s">
        <v>43</v>
      </c>
      <c r="E19" s="12" t="s">
        <v>69</v>
      </c>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29" t="s">
        <v>70</v>
      </c>
      <c r="C20" s="30" t="n">
        <v>75</v>
      </c>
      <c r="D20" s="31" t="s">
        <v>71</v>
      </c>
      <c r="E20" s="12" t="s">
        <v>72</v>
      </c>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34" t="s">
        <v>73</v>
      </c>
      <c r="C21" s="32" t="n">
        <v>0.025</v>
      </c>
      <c r="D21" s="35" t="s">
        <v>55</v>
      </c>
      <c r="E21" s="36" t="s">
        <v>74</v>
      </c>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29" t="s">
        <v>75</v>
      </c>
      <c r="C22" s="32" t="n">
        <v>0.05</v>
      </c>
      <c r="D22" s="31" t="s">
        <v>76</v>
      </c>
      <c r="E22" s="12" t="s">
        <v>77</v>
      </c>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29" t="s">
        <v>78</v>
      </c>
      <c r="C23" s="32" t="n">
        <v>0.045</v>
      </c>
      <c r="D23" s="31" t="s">
        <v>76</v>
      </c>
      <c r="E23" s="12" t="s">
        <v>79</v>
      </c>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29" t="s">
        <v>80</v>
      </c>
      <c r="C24" s="32" t="n">
        <v>0.07</v>
      </c>
      <c r="D24" s="31" t="s">
        <v>76</v>
      </c>
      <c r="E24" s="12" t="s">
        <v>81</v>
      </c>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29" t="s">
        <v>82</v>
      </c>
      <c r="C25" s="32" t="n">
        <v>0.8</v>
      </c>
      <c r="D25" s="31" t="s">
        <v>43</v>
      </c>
      <c r="E25" s="12" t="s">
        <v>83</v>
      </c>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29" t="s">
        <v>84</v>
      </c>
      <c r="C26" s="32" t="n">
        <v>0.015</v>
      </c>
      <c r="D26" s="31" t="s">
        <v>76</v>
      </c>
      <c r="E26" s="12" t="s">
        <v>85</v>
      </c>
      <c r="F26" s="5"/>
      <c r="G26" s="5"/>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29" t="s">
        <v>86</v>
      </c>
      <c r="C27" s="32" t="n">
        <v>0.035</v>
      </c>
      <c r="D27" s="31" t="s">
        <v>76</v>
      </c>
      <c r="E27" s="12" t="s">
        <v>87</v>
      </c>
      <c r="F27" s="5"/>
      <c r="G27" s="5"/>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29" t="s">
        <v>88</v>
      </c>
      <c r="C28" s="32" t="n">
        <v>0.04</v>
      </c>
      <c r="D28" s="31" t="s">
        <v>76</v>
      </c>
      <c r="E28" s="12" t="s">
        <v>89</v>
      </c>
      <c r="F28" s="5"/>
      <c r="G28" s="5"/>
      <c r="H28" s="5"/>
      <c r="I28" s="5"/>
      <c r="J28" s="5"/>
      <c r="K28" s="5"/>
      <c r="L28" s="5"/>
      <c r="M28" s="5"/>
      <c r="N28" s="5"/>
      <c r="O28" s="5"/>
      <c r="P28" s="5"/>
      <c r="Q28" s="5"/>
      <c r="R28" s="5"/>
      <c r="S28" s="5"/>
      <c r="T28" s="5"/>
      <c r="U28" s="5"/>
      <c r="V28" s="5"/>
      <c r="W28" s="5"/>
      <c r="X28" s="5"/>
      <c r="Y28" s="5"/>
      <c r="Z28" s="5"/>
      <c r="AA28" s="5"/>
      <c r="AB28" s="5"/>
      <c r="AC28" s="5"/>
      <c r="AD28" s="5"/>
    </row>
    <row r="29" customFormat="false" ht="15" hidden="false" customHeight="false" outlineLevel="0" collapsed="false">
      <c r="A29" s="5"/>
      <c r="B29" s="29" t="s">
        <v>90</v>
      </c>
      <c r="C29" s="32" t="n">
        <v>0.015</v>
      </c>
      <c r="D29" s="31" t="s">
        <v>76</v>
      </c>
      <c r="E29" s="12" t="s">
        <v>91</v>
      </c>
      <c r="F29" s="5"/>
      <c r="G29" s="5"/>
      <c r="H29" s="5"/>
      <c r="I29" s="5"/>
      <c r="J29" s="5"/>
      <c r="K29" s="5"/>
      <c r="L29" s="5"/>
      <c r="M29" s="5"/>
      <c r="N29" s="5"/>
      <c r="O29" s="5"/>
      <c r="P29" s="5"/>
      <c r="Q29" s="5"/>
      <c r="R29" s="5"/>
      <c r="S29" s="5"/>
      <c r="T29" s="5"/>
      <c r="U29" s="5"/>
      <c r="V29" s="5"/>
      <c r="W29" s="5"/>
      <c r="X29" s="5"/>
      <c r="Y29" s="5"/>
      <c r="Z29" s="5"/>
      <c r="AA29" s="5"/>
      <c r="AB29" s="5"/>
      <c r="AC29" s="5"/>
      <c r="AD29" s="5"/>
    </row>
    <row r="30" customFormat="false" ht="15" hidden="false" customHeight="false" outlineLevel="0" collapsed="false">
      <c r="A30" s="5"/>
      <c r="B30" s="29" t="s">
        <v>92</v>
      </c>
      <c r="C30" s="32" t="n">
        <v>0.015</v>
      </c>
      <c r="D30" s="31" t="s">
        <v>76</v>
      </c>
      <c r="E30" s="12" t="s">
        <v>93</v>
      </c>
      <c r="F30" s="5"/>
      <c r="G30" s="5"/>
      <c r="H30" s="5"/>
      <c r="I30" s="5"/>
      <c r="J30" s="5"/>
      <c r="K30" s="5"/>
      <c r="L30" s="5"/>
      <c r="M30" s="5"/>
      <c r="N30" s="5"/>
      <c r="O30" s="5"/>
      <c r="P30" s="5"/>
      <c r="Q30" s="5"/>
      <c r="R30" s="5"/>
      <c r="S30" s="5"/>
      <c r="T30" s="5"/>
      <c r="U30" s="5"/>
      <c r="V30" s="5"/>
      <c r="W30" s="5"/>
      <c r="X30" s="5"/>
      <c r="Y30" s="5"/>
      <c r="Z30" s="5"/>
      <c r="AA30" s="5"/>
      <c r="AB30" s="5"/>
      <c r="AC30" s="5"/>
      <c r="AD30" s="5"/>
    </row>
    <row r="31" customFormat="false" ht="15" hidden="false" customHeight="false" outlineLevel="0" collapsed="false">
      <c r="A31" s="5"/>
      <c r="B31" s="34" t="s">
        <v>94</v>
      </c>
      <c r="C31" s="32" t="n">
        <v>0.025</v>
      </c>
      <c r="D31" s="35" t="s">
        <v>55</v>
      </c>
      <c r="E31" s="36" t="s">
        <v>95</v>
      </c>
      <c r="F31" s="5"/>
      <c r="G31" s="5"/>
      <c r="H31" s="5"/>
      <c r="I31" s="5"/>
      <c r="J31" s="5"/>
      <c r="K31" s="5"/>
      <c r="L31" s="5"/>
      <c r="M31" s="5"/>
      <c r="N31" s="5"/>
      <c r="O31" s="5"/>
      <c r="P31" s="5"/>
      <c r="Q31" s="5"/>
      <c r="R31" s="5"/>
      <c r="S31" s="5"/>
      <c r="T31" s="5"/>
      <c r="U31" s="5"/>
      <c r="V31" s="5"/>
      <c r="W31" s="5"/>
      <c r="X31" s="5"/>
      <c r="Y31" s="5"/>
      <c r="Z31" s="5"/>
      <c r="AA31" s="5"/>
      <c r="AB31" s="5"/>
      <c r="AC31" s="5"/>
      <c r="AD31" s="5"/>
    </row>
    <row r="32" customFormat="false" ht="15" hidden="false" customHeight="false" outlineLevel="0" collapsed="false">
      <c r="A32" s="5"/>
      <c r="B32" s="29" t="s">
        <v>96</v>
      </c>
      <c r="C32" s="37" t="n">
        <v>1750000</v>
      </c>
      <c r="D32" s="31" t="s">
        <v>97</v>
      </c>
      <c r="E32" s="12" t="s">
        <v>98</v>
      </c>
      <c r="F32" s="5"/>
      <c r="G32" s="5"/>
      <c r="H32" s="5"/>
      <c r="I32" s="5"/>
      <c r="J32" s="5"/>
      <c r="K32" s="5"/>
      <c r="L32" s="5"/>
      <c r="M32" s="5"/>
      <c r="N32" s="5"/>
      <c r="O32" s="5"/>
      <c r="P32" s="5"/>
      <c r="Q32" s="5"/>
      <c r="R32" s="5"/>
      <c r="S32" s="5"/>
      <c r="T32" s="5"/>
      <c r="U32" s="5"/>
      <c r="V32" s="5"/>
      <c r="W32" s="5"/>
      <c r="X32" s="5"/>
      <c r="Y32" s="5"/>
      <c r="Z32" s="5"/>
      <c r="AA32" s="5"/>
      <c r="AB32" s="5"/>
      <c r="AC32" s="5"/>
      <c r="AD32" s="5"/>
    </row>
    <row r="33" customFormat="false" ht="15" hidden="false" customHeight="false" outlineLevel="0" collapsed="false">
      <c r="A33" s="5"/>
      <c r="B33" s="29" t="s">
        <v>99</v>
      </c>
      <c r="C33" s="37" t="n">
        <v>22750000</v>
      </c>
      <c r="D33" s="31" t="s">
        <v>97</v>
      </c>
      <c r="E33" s="12" t="s">
        <v>100</v>
      </c>
      <c r="F33" s="5"/>
      <c r="G33" s="5"/>
      <c r="H33" s="5"/>
      <c r="I33" s="5"/>
      <c r="J33" s="5"/>
      <c r="K33" s="5"/>
      <c r="L33" s="5"/>
      <c r="M33" s="5"/>
      <c r="N33" s="5"/>
      <c r="O33" s="5"/>
      <c r="P33" s="5"/>
      <c r="Q33" s="5"/>
      <c r="R33" s="5"/>
      <c r="S33" s="5"/>
      <c r="T33" s="5"/>
      <c r="U33" s="5"/>
      <c r="V33" s="5"/>
      <c r="W33" s="5"/>
      <c r="X33" s="5"/>
      <c r="Y33" s="5"/>
      <c r="Z33" s="5"/>
      <c r="AA33" s="5"/>
      <c r="AB33" s="5"/>
      <c r="AC33" s="5"/>
      <c r="AD33" s="5"/>
    </row>
    <row r="34" customFormat="false" ht="15" hidden="false" customHeight="false" outlineLevel="0" collapsed="false">
      <c r="A34" s="5"/>
      <c r="B34" s="29" t="s">
        <v>101</v>
      </c>
      <c r="C34" s="37" t="n">
        <v>2275000</v>
      </c>
      <c r="D34" s="31" t="s">
        <v>97</v>
      </c>
      <c r="E34" s="12" t="s">
        <v>102</v>
      </c>
      <c r="F34" s="5"/>
      <c r="G34" s="5"/>
      <c r="H34" s="5"/>
      <c r="I34" s="5"/>
      <c r="J34" s="5"/>
      <c r="K34" s="5"/>
      <c r="L34" s="5"/>
      <c r="M34" s="5"/>
      <c r="N34" s="5"/>
      <c r="O34" s="5"/>
      <c r="P34" s="5"/>
      <c r="Q34" s="5"/>
      <c r="R34" s="5"/>
      <c r="S34" s="5"/>
      <c r="T34" s="5"/>
      <c r="U34" s="5"/>
      <c r="V34" s="5"/>
      <c r="W34" s="5"/>
      <c r="X34" s="5"/>
      <c r="Y34" s="5"/>
      <c r="Z34" s="5"/>
      <c r="AA34" s="5"/>
      <c r="AB34" s="5"/>
      <c r="AC34" s="5"/>
      <c r="AD34" s="5"/>
    </row>
    <row r="35" customFormat="false" ht="15" hidden="false" customHeight="false" outlineLevel="0" collapsed="false">
      <c r="A35" s="5"/>
      <c r="B35" s="29" t="s">
        <v>103</v>
      </c>
      <c r="C35" s="37" t="n">
        <v>1343750</v>
      </c>
      <c r="D35" s="31" t="s">
        <v>97</v>
      </c>
      <c r="E35" s="12" t="s">
        <v>104</v>
      </c>
      <c r="F35" s="5"/>
      <c r="G35" s="5"/>
      <c r="H35" s="5"/>
      <c r="I35" s="5"/>
      <c r="J35" s="5"/>
      <c r="K35" s="5"/>
      <c r="L35" s="5"/>
      <c r="M35" s="5"/>
      <c r="N35" s="5"/>
      <c r="O35" s="5"/>
      <c r="P35" s="5"/>
      <c r="Q35" s="5"/>
      <c r="R35" s="5"/>
      <c r="S35" s="5"/>
      <c r="T35" s="5"/>
      <c r="U35" s="5"/>
      <c r="V35" s="5"/>
      <c r="W35" s="5"/>
      <c r="X35" s="5"/>
      <c r="Y35" s="5"/>
      <c r="Z35" s="5"/>
      <c r="AA35" s="5"/>
      <c r="AB35" s="5"/>
      <c r="AC35" s="5"/>
      <c r="AD35" s="5"/>
    </row>
    <row r="36" customFormat="false" ht="15" hidden="false" customHeight="false" outlineLevel="0" collapsed="false">
      <c r="A36" s="5"/>
      <c r="B36" s="34" t="s">
        <v>105</v>
      </c>
      <c r="C36" s="30" t="n">
        <v>2</v>
      </c>
      <c r="D36" s="35" t="s">
        <v>106</v>
      </c>
      <c r="E36" s="36" t="s">
        <v>107</v>
      </c>
      <c r="F36" s="5"/>
      <c r="G36" s="5"/>
      <c r="H36" s="5"/>
      <c r="I36" s="5"/>
      <c r="J36" s="5"/>
      <c r="K36" s="5"/>
      <c r="L36" s="5"/>
      <c r="M36" s="5"/>
      <c r="N36" s="5"/>
      <c r="O36" s="5"/>
      <c r="P36" s="5"/>
      <c r="Q36" s="5"/>
      <c r="R36" s="5"/>
      <c r="S36" s="5"/>
      <c r="T36" s="5"/>
      <c r="U36" s="5"/>
      <c r="V36" s="5"/>
      <c r="W36" s="5"/>
      <c r="X36" s="5"/>
      <c r="Y36" s="5"/>
      <c r="Z36" s="5"/>
      <c r="AA36" s="5"/>
      <c r="AB36" s="5"/>
      <c r="AC36" s="5"/>
      <c r="AD36" s="5"/>
    </row>
    <row r="37" customFormat="false" ht="15" hidden="false" customHeight="false" outlineLevel="0" collapsed="false">
      <c r="A37" s="5"/>
      <c r="B37" s="29" t="s">
        <v>108</v>
      </c>
      <c r="C37" s="32" t="n">
        <v>0.065</v>
      </c>
      <c r="D37" s="31" t="s">
        <v>43</v>
      </c>
      <c r="E37" s="12" t="s">
        <v>109</v>
      </c>
      <c r="F37" s="5"/>
      <c r="G37" s="5"/>
      <c r="H37" s="5"/>
      <c r="I37" s="5"/>
      <c r="J37" s="5"/>
      <c r="K37" s="5"/>
      <c r="L37" s="5"/>
      <c r="M37" s="5"/>
      <c r="N37" s="5"/>
      <c r="O37" s="5"/>
      <c r="P37" s="5"/>
      <c r="Q37" s="5"/>
      <c r="R37" s="5"/>
      <c r="S37" s="5"/>
      <c r="T37" s="5"/>
      <c r="U37" s="5"/>
      <c r="V37" s="5"/>
      <c r="W37" s="5"/>
      <c r="X37" s="5"/>
      <c r="Y37" s="5"/>
      <c r="Z37" s="5"/>
      <c r="AA37" s="5"/>
      <c r="AB37" s="5"/>
      <c r="AC37" s="5"/>
      <c r="AD37" s="5"/>
    </row>
    <row r="38" customFormat="false" ht="15" hidden="false" customHeight="false" outlineLevel="0" collapsed="false">
      <c r="A38" s="5"/>
      <c r="B38" s="29" t="s">
        <v>6</v>
      </c>
      <c r="C38" s="32" t="n">
        <v>0.55</v>
      </c>
      <c r="D38" s="31" t="s">
        <v>43</v>
      </c>
      <c r="E38" s="12" t="s">
        <v>110</v>
      </c>
      <c r="F38" s="5"/>
      <c r="G38" s="5"/>
      <c r="H38" s="5"/>
      <c r="I38" s="5"/>
      <c r="J38" s="5"/>
      <c r="K38" s="5"/>
      <c r="L38" s="5"/>
      <c r="M38" s="5"/>
      <c r="N38" s="5"/>
      <c r="O38" s="5"/>
      <c r="P38" s="5"/>
      <c r="Q38" s="5"/>
      <c r="R38" s="5"/>
      <c r="S38" s="5"/>
      <c r="T38" s="5"/>
      <c r="U38" s="5"/>
      <c r="V38" s="5"/>
      <c r="W38" s="5"/>
      <c r="X38" s="5"/>
      <c r="Y38" s="5"/>
      <c r="Z38" s="5"/>
      <c r="AA38" s="5"/>
      <c r="AB38" s="5"/>
      <c r="AC38" s="5"/>
      <c r="AD38" s="5"/>
    </row>
    <row r="39" customFormat="false" ht="15" hidden="false" customHeight="false" outlineLevel="0" collapsed="false">
      <c r="A39" s="5"/>
      <c r="B39" s="29" t="s">
        <v>111</v>
      </c>
      <c r="C39" s="30" t="n">
        <v>25</v>
      </c>
      <c r="D39" s="31" t="s">
        <v>106</v>
      </c>
      <c r="E39" s="12" t="s">
        <v>112</v>
      </c>
      <c r="F39" s="5"/>
      <c r="G39" s="5"/>
      <c r="H39" s="5"/>
      <c r="I39" s="5"/>
      <c r="J39" s="5"/>
      <c r="K39" s="5"/>
      <c r="L39" s="5"/>
      <c r="M39" s="5"/>
      <c r="N39" s="5"/>
      <c r="O39" s="5"/>
      <c r="P39" s="5"/>
      <c r="Q39" s="5"/>
      <c r="R39" s="5"/>
      <c r="S39" s="5"/>
      <c r="T39" s="5"/>
      <c r="U39" s="5"/>
      <c r="V39" s="5"/>
      <c r="W39" s="5"/>
      <c r="X39" s="5"/>
      <c r="Y39" s="5"/>
      <c r="Z39" s="5"/>
      <c r="AA39" s="5"/>
      <c r="AB39" s="5"/>
      <c r="AC39" s="5"/>
      <c r="AD39" s="5"/>
    </row>
    <row r="40" customFormat="false" ht="15" hidden="false" customHeight="false" outlineLevel="0" collapsed="false">
      <c r="A40" s="5"/>
      <c r="B40" s="34" t="s">
        <v>113</v>
      </c>
      <c r="C40" s="32" t="n">
        <v>0.25</v>
      </c>
      <c r="D40" s="35" t="s">
        <v>43</v>
      </c>
      <c r="E40" s="36" t="s">
        <v>114</v>
      </c>
      <c r="F40" s="5"/>
      <c r="G40" s="5"/>
      <c r="H40" s="5"/>
      <c r="I40" s="5"/>
      <c r="J40" s="5"/>
      <c r="K40" s="5"/>
      <c r="L40" s="5"/>
      <c r="M40" s="5"/>
      <c r="N40" s="5"/>
      <c r="O40" s="5"/>
      <c r="P40" s="5"/>
      <c r="Q40" s="5"/>
      <c r="R40" s="5"/>
      <c r="S40" s="5"/>
      <c r="T40" s="5"/>
      <c r="U40" s="5"/>
      <c r="V40" s="5"/>
      <c r="W40" s="5"/>
      <c r="X40" s="5"/>
      <c r="Y40" s="5"/>
      <c r="Z40" s="5"/>
      <c r="AA40" s="5"/>
      <c r="AB40" s="5"/>
      <c r="AC40" s="5"/>
      <c r="AD40" s="5"/>
    </row>
    <row r="41" customFormat="false" ht="15" hidden="false" customHeight="false" outlineLevel="0" collapsed="false">
      <c r="A41" s="5"/>
      <c r="B41" s="29" t="s">
        <v>115</v>
      </c>
      <c r="C41" s="32" t="n">
        <v>0.0525</v>
      </c>
      <c r="D41" s="31" t="s">
        <v>43</v>
      </c>
      <c r="E41" s="12" t="s">
        <v>116</v>
      </c>
      <c r="F41" s="5"/>
      <c r="G41" s="5"/>
      <c r="H41" s="5"/>
      <c r="I41" s="5"/>
      <c r="J41" s="5"/>
      <c r="K41" s="5"/>
      <c r="L41" s="5"/>
      <c r="M41" s="5"/>
      <c r="N41" s="5"/>
      <c r="O41" s="5"/>
      <c r="P41" s="5"/>
      <c r="Q41" s="5"/>
      <c r="R41" s="5"/>
      <c r="S41" s="5"/>
      <c r="T41" s="5"/>
      <c r="U41" s="5"/>
      <c r="V41" s="5"/>
      <c r="W41" s="5"/>
      <c r="X41" s="5"/>
      <c r="Y41" s="5"/>
      <c r="Z41" s="5"/>
      <c r="AA41" s="5"/>
      <c r="AB41" s="5"/>
      <c r="AC41" s="5"/>
      <c r="AD41" s="5"/>
    </row>
    <row r="42" customFormat="false" ht="15" hidden="false" customHeight="false" outlineLevel="0" collapsed="false">
      <c r="A42" s="5"/>
      <c r="B42" s="29" t="s">
        <v>117</v>
      </c>
      <c r="C42" s="32" t="n">
        <v>0.015</v>
      </c>
      <c r="D42" s="31" t="s">
        <v>118</v>
      </c>
      <c r="E42" s="12" t="s">
        <v>119</v>
      </c>
      <c r="F42" s="5"/>
      <c r="G42" s="5"/>
      <c r="H42" s="5"/>
      <c r="I42" s="5"/>
      <c r="J42" s="5"/>
      <c r="K42" s="5"/>
      <c r="L42" s="5"/>
      <c r="M42" s="5"/>
      <c r="N42" s="5"/>
      <c r="O42" s="5"/>
      <c r="P42" s="5"/>
      <c r="Q42" s="5"/>
      <c r="R42" s="5"/>
      <c r="S42" s="5"/>
      <c r="T42" s="5"/>
      <c r="U42" s="5"/>
      <c r="V42" s="5"/>
      <c r="W42" s="5"/>
      <c r="X42" s="5"/>
      <c r="Y42" s="5"/>
      <c r="Z42" s="5"/>
      <c r="AA42" s="5"/>
      <c r="AB42" s="5"/>
      <c r="AC42" s="5"/>
      <c r="AD42" s="5"/>
    </row>
    <row r="43" customFormat="false" ht="15" hidden="false" customHeight="false" outlineLevel="0" collapsed="false">
      <c r="A43" s="5"/>
      <c r="B43" s="29" t="s">
        <v>120</v>
      </c>
      <c r="C43" s="32" t="n">
        <v>0.12</v>
      </c>
      <c r="D43" s="31" t="s">
        <v>43</v>
      </c>
      <c r="E43" s="12" t="s">
        <v>121</v>
      </c>
      <c r="F43" s="5"/>
      <c r="G43" s="5"/>
      <c r="H43" s="5"/>
      <c r="I43" s="5"/>
      <c r="J43" s="5"/>
      <c r="K43" s="5"/>
      <c r="L43" s="5"/>
      <c r="M43" s="5"/>
      <c r="N43" s="5"/>
      <c r="O43" s="5"/>
      <c r="P43" s="5"/>
      <c r="Q43" s="5"/>
      <c r="R43" s="5"/>
      <c r="S43" s="5"/>
      <c r="T43" s="5"/>
      <c r="U43" s="5"/>
      <c r="V43" s="5"/>
      <c r="W43" s="5"/>
      <c r="X43" s="5"/>
      <c r="Y43" s="5"/>
      <c r="Z43" s="5"/>
      <c r="AA43" s="5"/>
      <c r="AB43" s="5"/>
      <c r="AC43" s="5"/>
      <c r="AD43"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3"/>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122</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27" t="s">
        <v>123</v>
      </c>
      <c r="C3" s="38" t="n">
        <v>1</v>
      </c>
      <c r="D3" s="38" t="n">
        <v>2</v>
      </c>
      <c r="E3" s="38" t="n">
        <v>3</v>
      </c>
      <c r="F3" s="38" t="n">
        <v>4</v>
      </c>
      <c r="G3" s="38" t="n">
        <v>5</v>
      </c>
      <c r="H3" s="38" t="n">
        <v>6</v>
      </c>
      <c r="I3" s="38" t="n">
        <v>7</v>
      </c>
      <c r="J3" s="38" t="n">
        <v>8</v>
      </c>
      <c r="K3" s="38" t="n">
        <v>9</v>
      </c>
      <c r="L3" s="38" t="n">
        <v>10</v>
      </c>
      <c r="M3" s="1"/>
      <c r="N3" s="1"/>
      <c r="O3" s="1"/>
      <c r="P3" s="1"/>
      <c r="Q3" s="1"/>
      <c r="R3" s="1"/>
      <c r="S3" s="1"/>
      <c r="T3" s="1"/>
      <c r="U3" s="1"/>
      <c r="V3" s="1"/>
      <c r="W3" s="1"/>
      <c r="X3" s="1"/>
      <c r="Y3" s="1"/>
      <c r="Z3" s="1"/>
      <c r="AA3" s="1"/>
      <c r="AB3" s="1"/>
      <c r="AC3" s="1"/>
      <c r="AD3" s="1"/>
    </row>
    <row r="4" customFormat="false" ht="15" hidden="false" customHeight="false" outlineLevel="0" collapsed="false">
      <c r="A4" s="5"/>
      <c r="B4" s="28" t="s">
        <v>124</v>
      </c>
      <c r="C4" s="20"/>
      <c r="D4" s="20"/>
      <c r="E4" s="20"/>
      <c r="F4" s="20"/>
      <c r="G4" s="20"/>
      <c r="H4" s="20"/>
      <c r="I4" s="20"/>
      <c r="J4" s="20"/>
      <c r="K4" s="20"/>
      <c r="L4" s="20"/>
      <c r="M4" s="5"/>
      <c r="N4" s="5"/>
      <c r="O4" s="5"/>
      <c r="P4" s="5"/>
      <c r="Q4" s="5"/>
      <c r="R4" s="5"/>
      <c r="S4" s="5"/>
      <c r="T4" s="5"/>
      <c r="U4" s="5"/>
      <c r="V4" s="5"/>
      <c r="W4" s="5"/>
      <c r="X4" s="5"/>
      <c r="Y4" s="5"/>
      <c r="Z4" s="5"/>
      <c r="AA4" s="5"/>
      <c r="AB4" s="5"/>
      <c r="AC4" s="5"/>
      <c r="AD4" s="5"/>
    </row>
    <row r="5" customFormat="false" ht="15" hidden="false" customHeight="false" outlineLevel="0" collapsed="false">
      <c r="A5" s="5"/>
      <c r="B5" s="29" t="s">
        <v>45</v>
      </c>
      <c r="C5" s="39" t="n">
        <f aca="false">Ensuite_Beds</f>
        <v>228</v>
      </c>
      <c r="D5" s="39" t="n">
        <f aca="false">Ensuite_Beds</f>
        <v>228</v>
      </c>
      <c r="E5" s="39" t="n">
        <f aca="false">Ensuite_Beds</f>
        <v>228</v>
      </c>
      <c r="F5" s="39" t="n">
        <f aca="false">Ensuite_Beds</f>
        <v>228</v>
      </c>
      <c r="G5" s="39" t="n">
        <f aca="false">Ensuite_Beds</f>
        <v>228</v>
      </c>
      <c r="H5" s="39" t="n">
        <f aca="false">Ensuite_Beds</f>
        <v>228</v>
      </c>
      <c r="I5" s="39" t="n">
        <f aca="false">Ensuite_Beds</f>
        <v>228</v>
      </c>
      <c r="J5" s="39" t="n">
        <f aca="false">Ensuite_Beds</f>
        <v>228</v>
      </c>
      <c r="K5" s="39" t="n">
        <f aca="false">Ensuite_Beds</f>
        <v>228</v>
      </c>
      <c r="L5" s="39" t="n">
        <f aca="false">Ensuite_Beds</f>
        <v>228</v>
      </c>
      <c r="M5" s="5"/>
      <c r="N5" s="5"/>
      <c r="O5" s="5"/>
      <c r="P5" s="5"/>
      <c r="Q5" s="5"/>
      <c r="R5" s="5"/>
      <c r="S5" s="5"/>
      <c r="T5" s="5"/>
      <c r="U5" s="5"/>
      <c r="V5" s="5"/>
      <c r="W5" s="5"/>
      <c r="X5" s="5"/>
      <c r="Y5" s="5"/>
      <c r="Z5" s="5"/>
      <c r="AA5" s="5"/>
      <c r="AB5" s="5"/>
      <c r="AC5" s="5"/>
      <c r="AD5" s="5"/>
    </row>
    <row r="6" customFormat="false" ht="15" hidden="false" customHeight="false" outlineLevel="0" collapsed="false">
      <c r="A6" s="5"/>
      <c r="B6" s="29" t="s">
        <v>47</v>
      </c>
      <c r="C6" s="39" t="n">
        <f aca="false">Studio_Beds</f>
        <v>122</v>
      </c>
      <c r="D6" s="39" t="n">
        <f aca="false">Studio_Beds</f>
        <v>122</v>
      </c>
      <c r="E6" s="39" t="n">
        <f aca="false">Studio_Beds</f>
        <v>122</v>
      </c>
      <c r="F6" s="39" t="n">
        <f aca="false">Studio_Beds</f>
        <v>122</v>
      </c>
      <c r="G6" s="39" t="n">
        <f aca="false">Studio_Beds</f>
        <v>122</v>
      </c>
      <c r="H6" s="39" t="n">
        <f aca="false">Studio_Beds</f>
        <v>122</v>
      </c>
      <c r="I6" s="39" t="n">
        <f aca="false">Studio_Beds</f>
        <v>122</v>
      </c>
      <c r="J6" s="39" t="n">
        <f aca="false">Studio_Beds</f>
        <v>122</v>
      </c>
      <c r="K6" s="39" t="n">
        <f aca="false">Studio_Beds</f>
        <v>122</v>
      </c>
      <c r="L6" s="39" t="n">
        <f aca="false">Studio_Beds</f>
        <v>122</v>
      </c>
      <c r="M6" s="5"/>
      <c r="N6" s="5"/>
      <c r="O6" s="5"/>
      <c r="P6" s="5"/>
      <c r="Q6" s="5"/>
      <c r="R6" s="5"/>
      <c r="S6" s="5"/>
      <c r="T6" s="5"/>
      <c r="U6" s="5"/>
      <c r="V6" s="5"/>
      <c r="W6" s="5"/>
      <c r="X6" s="5"/>
      <c r="Y6" s="5"/>
      <c r="Z6" s="5"/>
      <c r="AA6" s="5"/>
      <c r="AB6" s="5"/>
      <c r="AC6" s="5"/>
      <c r="AD6" s="5"/>
    </row>
    <row r="7" customFormat="false" ht="15" hidden="false" customHeight="false" outlineLevel="0" collapsed="false">
      <c r="A7" s="5"/>
      <c r="B7" s="29" t="s">
        <v>125</v>
      </c>
      <c r="C7" s="39" t="n">
        <f aca="false">Academic_Weeks</f>
        <v>44</v>
      </c>
      <c r="D7" s="39" t="n">
        <f aca="false">Academic_Weeks</f>
        <v>44</v>
      </c>
      <c r="E7" s="39" t="n">
        <f aca="false">Academic_Weeks</f>
        <v>44</v>
      </c>
      <c r="F7" s="39" t="n">
        <f aca="false">Academic_Weeks</f>
        <v>44</v>
      </c>
      <c r="G7" s="39" t="n">
        <f aca="false">Academic_Weeks</f>
        <v>44</v>
      </c>
      <c r="H7" s="39" t="n">
        <f aca="false">Academic_Weeks</f>
        <v>44</v>
      </c>
      <c r="I7" s="39" t="n">
        <f aca="false">Academic_Weeks</f>
        <v>44</v>
      </c>
      <c r="J7" s="39" t="n">
        <f aca="false">Academic_Weeks</f>
        <v>44</v>
      </c>
      <c r="K7" s="39" t="n">
        <f aca="false">Academic_Weeks</f>
        <v>44</v>
      </c>
      <c r="L7" s="39" t="n">
        <f aca="false">Academic_Weeks</f>
        <v>44</v>
      </c>
      <c r="M7" s="5"/>
      <c r="N7" s="5"/>
      <c r="O7" s="5"/>
      <c r="P7" s="5"/>
      <c r="Q7" s="5"/>
      <c r="R7" s="5"/>
      <c r="S7" s="5"/>
      <c r="T7" s="5"/>
      <c r="U7" s="5"/>
      <c r="V7" s="5"/>
      <c r="W7" s="5"/>
      <c r="X7" s="5"/>
      <c r="Y7" s="5"/>
      <c r="Z7" s="5"/>
      <c r="AA7" s="5"/>
      <c r="AB7" s="5"/>
      <c r="AC7" s="5"/>
      <c r="AD7" s="5"/>
    </row>
    <row r="8" customFormat="false" ht="15" hidden="false" customHeight="false" outlineLevel="0" collapsed="false">
      <c r="A8" s="5"/>
      <c r="B8" s="29" t="s">
        <v>126</v>
      </c>
      <c r="C8" s="39" t="n">
        <f aca="false">Summer_Weeks</f>
        <v>8</v>
      </c>
      <c r="D8" s="39" t="n">
        <f aca="false">Summer_Weeks</f>
        <v>8</v>
      </c>
      <c r="E8" s="39" t="n">
        <f aca="false">Summer_Weeks</f>
        <v>8</v>
      </c>
      <c r="F8" s="39" t="n">
        <f aca="false">Summer_Weeks</f>
        <v>8</v>
      </c>
      <c r="G8" s="39" t="n">
        <f aca="false">Summer_Weeks</f>
        <v>8</v>
      </c>
      <c r="H8" s="39" t="n">
        <f aca="false">Summer_Weeks</f>
        <v>8</v>
      </c>
      <c r="I8" s="39" t="n">
        <f aca="false">Summer_Weeks</f>
        <v>8</v>
      </c>
      <c r="J8" s="39" t="n">
        <f aca="false">Summer_Weeks</f>
        <v>8</v>
      </c>
      <c r="K8" s="39" t="n">
        <f aca="false">Summer_Weeks</f>
        <v>8</v>
      </c>
      <c r="L8" s="39" t="n">
        <f aca="false">Summer_Weeks</f>
        <v>8</v>
      </c>
      <c r="M8" s="5"/>
      <c r="N8" s="5"/>
      <c r="O8" s="5"/>
      <c r="P8" s="5"/>
      <c r="Q8" s="5"/>
      <c r="R8" s="5"/>
      <c r="S8" s="5"/>
      <c r="T8" s="5"/>
      <c r="U8" s="5"/>
      <c r="V8" s="5"/>
      <c r="W8" s="5"/>
      <c r="X8" s="5"/>
      <c r="Y8" s="5"/>
      <c r="Z8" s="5"/>
      <c r="AA8" s="5"/>
      <c r="AB8" s="5"/>
      <c r="AC8" s="5"/>
      <c r="AD8" s="5"/>
    </row>
    <row r="9" customFormat="false" ht="15" hidden="false" customHeight="false" outlineLevel="0" collapsed="false">
      <c r="A9" s="5"/>
      <c r="B9" s="29" t="s">
        <v>127</v>
      </c>
      <c r="C9" s="40" t="n">
        <f aca="false">Academic_Occ_Y1</f>
        <v>0.9</v>
      </c>
      <c r="D9" s="40" t="n">
        <f aca="false">Academic_Occ_Stab</f>
        <v>0.98</v>
      </c>
      <c r="E9" s="40" t="n">
        <f aca="false">Academic_Occ_Stab</f>
        <v>0.98</v>
      </c>
      <c r="F9" s="40" t="n">
        <f aca="false">Academic_Occ_Stab</f>
        <v>0.98</v>
      </c>
      <c r="G9" s="40" t="n">
        <f aca="false">Academic_Occ_Stab</f>
        <v>0.98</v>
      </c>
      <c r="H9" s="40" t="n">
        <f aca="false">Academic_Occ_Stab</f>
        <v>0.98</v>
      </c>
      <c r="I9" s="40" t="n">
        <f aca="false">Academic_Occ_Stab</f>
        <v>0.98</v>
      </c>
      <c r="J9" s="40" t="n">
        <f aca="false">Academic_Occ_Stab</f>
        <v>0.98</v>
      </c>
      <c r="K9" s="40" t="n">
        <f aca="false">Academic_Occ_Stab</f>
        <v>0.98</v>
      </c>
      <c r="L9" s="40" t="n">
        <f aca="false">Academic_Occ_Stab</f>
        <v>0.98</v>
      </c>
      <c r="M9" s="5"/>
      <c r="N9" s="5"/>
      <c r="O9" s="5"/>
      <c r="P9" s="5"/>
      <c r="Q9" s="5"/>
      <c r="R9" s="5"/>
      <c r="S9" s="5"/>
      <c r="T9" s="5"/>
      <c r="U9" s="5"/>
      <c r="V9" s="5"/>
      <c r="W9" s="5"/>
      <c r="X9" s="5"/>
      <c r="Y9" s="5"/>
      <c r="Z9" s="5"/>
      <c r="AA9" s="5"/>
      <c r="AB9" s="5"/>
      <c r="AC9" s="5"/>
      <c r="AD9" s="5"/>
    </row>
    <row r="10" customFormat="false" ht="15" hidden="false" customHeight="false" outlineLevel="0" collapsed="false">
      <c r="A10" s="5"/>
      <c r="B10" s="29" t="s">
        <v>66</v>
      </c>
      <c r="C10" s="40" t="n">
        <f aca="false">Summer_Occ</f>
        <v>0.6</v>
      </c>
      <c r="D10" s="40" t="n">
        <f aca="false">Summer_Occ</f>
        <v>0.6</v>
      </c>
      <c r="E10" s="40" t="n">
        <f aca="false">Summer_Occ</f>
        <v>0.6</v>
      </c>
      <c r="F10" s="40" t="n">
        <f aca="false">Summer_Occ</f>
        <v>0.6</v>
      </c>
      <c r="G10" s="40" t="n">
        <f aca="false">Summer_Occ</f>
        <v>0.6</v>
      </c>
      <c r="H10" s="40" t="n">
        <f aca="false">Summer_Occ</f>
        <v>0.6</v>
      </c>
      <c r="I10" s="40" t="n">
        <f aca="false">Summer_Occ</f>
        <v>0.6</v>
      </c>
      <c r="J10" s="40" t="n">
        <f aca="false">Summer_Occ</f>
        <v>0.6</v>
      </c>
      <c r="K10" s="40" t="n">
        <f aca="false">Summer_Occ</f>
        <v>0.6</v>
      </c>
      <c r="L10" s="40" t="n">
        <f aca="false">Summer_Occ</f>
        <v>0.6</v>
      </c>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28" t="s">
        <v>128</v>
      </c>
      <c r="C11" s="20"/>
      <c r="D11" s="20"/>
      <c r="E11" s="20"/>
      <c r="F11" s="20"/>
      <c r="G11" s="20"/>
      <c r="H11" s="20"/>
      <c r="I11" s="20"/>
      <c r="J11" s="20"/>
      <c r="K11" s="20"/>
      <c r="L11" s="20"/>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29" t="s">
        <v>129</v>
      </c>
      <c r="C12" s="41" t="n">
        <f aca="false">Academic_Rent_E</f>
        <v>185</v>
      </c>
      <c r="D12" s="41" t="n">
        <f aca="false">C12*(1+Rent_Growth)</f>
        <v>191.475</v>
      </c>
      <c r="E12" s="41" t="n">
        <f aca="false">D12*(1+Rent_Growth)</f>
        <v>198.176625</v>
      </c>
      <c r="F12" s="41" t="n">
        <f aca="false">E12*(1+Rent_Growth)</f>
        <v>205.112806875</v>
      </c>
      <c r="G12" s="41" t="n">
        <f aca="false">F12*(1+Rent_Growth)</f>
        <v>212.291755115625</v>
      </c>
      <c r="H12" s="41" t="n">
        <f aca="false">G12*(1+Rent_Growth)</f>
        <v>219.721966544672</v>
      </c>
      <c r="I12" s="41" t="n">
        <f aca="false">H12*(1+Rent_Growth)</f>
        <v>227.412235373735</v>
      </c>
      <c r="J12" s="41" t="n">
        <f aca="false">I12*(1+Rent_Growth)</f>
        <v>235.371663611816</v>
      </c>
      <c r="K12" s="41" t="n">
        <f aca="false">J12*(1+Rent_Growth)</f>
        <v>243.60967183823</v>
      </c>
      <c r="L12" s="41" t="n">
        <f aca="false">K12*(1+Rent_Growth)</f>
        <v>252.136010352568</v>
      </c>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29" t="s">
        <v>130</v>
      </c>
      <c r="C13" s="41" t="n">
        <f aca="false">Academic_Rent_S</f>
        <v>245</v>
      </c>
      <c r="D13" s="41" t="n">
        <f aca="false">C13*(1+Rent_Growth)</f>
        <v>253.575</v>
      </c>
      <c r="E13" s="41" t="n">
        <f aca="false">D13*(1+Rent_Growth)</f>
        <v>262.450125</v>
      </c>
      <c r="F13" s="41" t="n">
        <f aca="false">E13*(1+Rent_Growth)</f>
        <v>271.635879375</v>
      </c>
      <c r="G13" s="41" t="n">
        <f aca="false">F13*(1+Rent_Growth)</f>
        <v>281.143135153125</v>
      </c>
      <c r="H13" s="41" t="n">
        <f aca="false">G13*(1+Rent_Growth)</f>
        <v>290.983144883484</v>
      </c>
      <c r="I13" s="41" t="n">
        <f aca="false">H13*(1+Rent_Growth)</f>
        <v>301.167554954406</v>
      </c>
      <c r="J13" s="41" t="n">
        <f aca="false">I13*(1+Rent_Growth)</f>
        <v>311.70841937781</v>
      </c>
      <c r="K13" s="41" t="n">
        <f aca="false">J13*(1+Rent_Growth)</f>
        <v>322.618214056034</v>
      </c>
      <c r="L13" s="41" t="n">
        <f aca="false">K13*(1+Rent_Growth)</f>
        <v>333.909851547995</v>
      </c>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29" t="s">
        <v>131</v>
      </c>
      <c r="C14" s="41" t="n">
        <f aca="false">(C12*Ensuite_Beds+C13*Studio_Beds)/(Ensuite_Beds+Studio_Beds)*Summer_Disc_Pct</f>
        <v>113.252857142857</v>
      </c>
      <c r="D14" s="41" t="n">
        <f aca="false">(D12*Ensuite_Beds+D13*Studio_Beds)/(Ensuite_Beds+Studio_Beds)*Summer_Disc_Pct</f>
        <v>117.216707142857</v>
      </c>
      <c r="E14" s="41" t="n">
        <f aca="false">(E12*Ensuite_Beds+E13*Studio_Beds)/(Ensuite_Beds+Studio_Beds)*Summer_Disc_Pct</f>
        <v>121.319291892857</v>
      </c>
      <c r="F14" s="41" t="n">
        <f aca="false">(F12*Ensuite_Beds+F13*Studio_Beds)/(Ensuite_Beds+Studio_Beds)*Summer_Disc_Pct</f>
        <v>125.565467109107</v>
      </c>
      <c r="G14" s="41" t="n">
        <f aca="false">(G12*Ensuite_Beds+G13*Studio_Beds)/(Ensuite_Beds+Studio_Beds)*Summer_Disc_Pct</f>
        <v>129.960258457926</v>
      </c>
      <c r="H14" s="41" t="n">
        <f aca="false">(H12*Ensuite_Beds+H13*Studio_Beds)/(Ensuite_Beds+Studio_Beds)*Summer_Disc_Pct</f>
        <v>134.508867503953</v>
      </c>
      <c r="I14" s="41" t="n">
        <f aca="false">(I12*Ensuite_Beds+I13*Studio_Beds)/(Ensuite_Beds+Studio_Beds)*Summer_Disc_Pct</f>
        <v>139.216677866592</v>
      </c>
      <c r="J14" s="41" t="n">
        <f aca="false">(J12*Ensuite_Beds+J13*Studio_Beds)/(Ensuite_Beds+Studio_Beds)*Summer_Disc_Pct</f>
        <v>144.089261591922</v>
      </c>
      <c r="K14" s="41" t="n">
        <f aca="false">(K12*Ensuite_Beds+K13*Studio_Beds)/(Ensuite_Beds+Studio_Beds)*Summer_Disc_Pct</f>
        <v>149.13238574764</v>
      </c>
      <c r="L14" s="41" t="n">
        <f aca="false">(L12*Ensuite_Beds+L13*Studio_Beds)/(Ensuite_Beds+Studio_Beds)*Summer_Disc_Pct</f>
        <v>154.352019248807</v>
      </c>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28" t="s">
        <v>132</v>
      </c>
      <c r="C15" s="20"/>
      <c r="D15" s="20"/>
      <c r="E15" s="20"/>
      <c r="F15" s="20"/>
      <c r="G15" s="20"/>
      <c r="H15" s="20"/>
      <c r="I15" s="20"/>
      <c r="J15" s="20"/>
      <c r="K15" s="20"/>
      <c r="L15" s="20"/>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29" t="s">
        <v>133</v>
      </c>
      <c r="C16" s="41" t="n">
        <f aca="false">C5*C9*C12*C7</f>
        <v>1670328</v>
      </c>
      <c r="D16" s="41" t="n">
        <f aca="false">D5*D9*D12*D7</f>
        <v>1882459.656</v>
      </c>
      <c r="E16" s="41" t="n">
        <f aca="false">E5*E9*E12*E7</f>
        <v>1948345.74396</v>
      </c>
      <c r="F16" s="41" t="n">
        <f aca="false">F5*F9*F12*F7</f>
        <v>2016537.8449986</v>
      </c>
      <c r="G16" s="41" t="n">
        <f aca="false">G5*G9*G12*G7</f>
        <v>2087116.66957355</v>
      </c>
      <c r="H16" s="41" t="n">
        <f aca="false">H5*H9*H12*H7</f>
        <v>2160165.75300862</v>
      </c>
      <c r="I16" s="41" t="n">
        <f aca="false">I5*I9*I12*I7</f>
        <v>2235771.55436393</v>
      </c>
      <c r="J16" s="41" t="n">
        <f aca="false">J5*J9*J12*J7</f>
        <v>2314023.55876666</v>
      </c>
      <c r="K16" s="41" t="n">
        <f aca="false">K5*K9*K12*K7</f>
        <v>2395014.3833235</v>
      </c>
      <c r="L16" s="41" t="n">
        <f aca="false">L5*L9*L12*L7</f>
        <v>2478839.88673982</v>
      </c>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29" t="s">
        <v>134</v>
      </c>
      <c r="C17" s="41" t="n">
        <f aca="false">C6*C9*C13*C7</f>
        <v>1183644</v>
      </c>
      <c r="D17" s="41" t="n">
        <f aca="false">D6*D9*D13*D7</f>
        <v>1333966.788</v>
      </c>
      <c r="E17" s="41" t="n">
        <f aca="false">E6*E9*E13*E7</f>
        <v>1380655.62558</v>
      </c>
      <c r="F17" s="41" t="n">
        <f aca="false">F6*F9*F13*F7</f>
        <v>1428978.5724753</v>
      </c>
      <c r="G17" s="41" t="n">
        <f aca="false">G6*G9*G13*G7</f>
        <v>1478992.82251194</v>
      </c>
      <c r="H17" s="41" t="n">
        <f aca="false">H6*H9*H13*H7</f>
        <v>1530757.57129985</v>
      </c>
      <c r="I17" s="41" t="n">
        <f aca="false">I6*I9*I13*I7</f>
        <v>1584334.08629535</v>
      </c>
      <c r="J17" s="41" t="n">
        <f aca="false">J6*J9*J13*J7</f>
        <v>1639785.77931568</v>
      </c>
      <c r="K17" s="41" t="n">
        <f aca="false">K6*K9*K13*K7</f>
        <v>1697178.28159173</v>
      </c>
      <c r="L17" s="41" t="n">
        <f aca="false">L6*L9*L13*L7</f>
        <v>1756579.52144744</v>
      </c>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29" t="s">
        <v>135</v>
      </c>
      <c r="C18" s="41" t="n">
        <f aca="false">(C5+C6)*C10*C14*C8</f>
        <v>190264.8</v>
      </c>
      <c r="D18" s="41" t="n">
        <f aca="false">(D5+D6)*D10*D14*D8</f>
        <v>196924.068</v>
      </c>
      <c r="E18" s="41" t="n">
        <f aca="false">(E5+E6)*E10*E14*E8</f>
        <v>203816.41038</v>
      </c>
      <c r="F18" s="41" t="n">
        <f aca="false">(F5+F6)*F10*F14*F8</f>
        <v>210949.9847433</v>
      </c>
      <c r="G18" s="41" t="n">
        <f aca="false">(G5+G6)*G10*G14*G8</f>
        <v>218333.234209315</v>
      </c>
      <c r="H18" s="41" t="n">
        <f aca="false">(H5+H6)*H10*H14*H8</f>
        <v>225974.897406641</v>
      </c>
      <c r="I18" s="41" t="n">
        <f aca="false">(I5+I6)*I10*I14*I8</f>
        <v>233884.018815874</v>
      </c>
      <c r="J18" s="41" t="n">
        <f aca="false">(J5+J6)*J10*J14*J8</f>
        <v>242069.959474429</v>
      </c>
      <c r="K18" s="41" t="n">
        <f aca="false">(K5+K6)*K10*K14*K8</f>
        <v>250542.408056034</v>
      </c>
      <c r="L18" s="41" t="n">
        <f aca="false">(L5+L6)*L10*L14*L8</f>
        <v>259311.392337996</v>
      </c>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29" t="s">
        <v>136</v>
      </c>
      <c r="C19" s="41" t="n">
        <f aca="false">Total_Beds*Ancillary_Per_Bed</f>
        <v>26250</v>
      </c>
      <c r="D19" s="41" t="n">
        <f aca="false">C19*(1+Ancillary_Growth)</f>
        <v>26906.25</v>
      </c>
      <c r="E19" s="41" t="n">
        <f aca="false">D19*(1+Ancillary_Growth)</f>
        <v>27578.90625</v>
      </c>
      <c r="F19" s="41" t="n">
        <f aca="false">E19*(1+Ancillary_Growth)</f>
        <v>28268.37890625</v>
      </c>
      <c r="G19" s="41" t="n">
        <f aca="false">F19*(1+Ancillary_Growth)</f>
        <v>28975.0883789062</v>
      </c>
      <c r="H19" s="41" t="n">
        <f aca="false">G19*(1+Ancillary_Growth)</f>
        <v>29699.4655883789</v>
      </c>
      <c r="I19" s="41" t="n">
        <f aca="false">H19*(1+Ancillary_Growth)</f>
        <v>30441.9522280884</v>
      </c>
      <c r="J19" s="41" t="n">
        <f aca="false">I19*(1+Ancillary_Growth)</f>
        <v>31203.0010337906</v>
      </c>
      <c r="K19" s="41" t="n">
        <f aca="false">J19*(1+Ancillary_Growth)</f>
        <v>31983.0760596353</v>
      </c>
      <c r="L19" s="41" t="n">
        <f aca="false">K19*(1+Ancillary_Growth)</f>
        <v>32782.6529611262</v>
      </c>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42" t="s">
        <v>137</v>
      </c>
      <c r="C21" s="43" t="n">
        <f aca="false">C16+C17+C18+C19</f>
        <v>3070486.8</v>
      </c>
      <c r="D21" s="43" t="n">
        <f aca="false">D16+D17+D18+D19</f>
        <v>3440256.762</v>
      </c>
      <c r="E21" s="43" t="n">
        <f aca="false">E16+E17+E18+E19</f>
        <v>3560396.68617</v>
      </c>
      <c r="F21" s="43" t="n">
        <f aca="false">F16+F17+F18+F19</f>
        <v>3684734.78112345</v>
      </c>
      <c r="G21" s="43" t="n">
        <f aca="false">G16+G17+G18+G19</f>
        <v>3813417.81467371</v>
      </c>
      <c r="H21" s="43" t="n">
        <f aca="false">H16+H17+H18+H19</f>
        <v>3946597.6873035</v>
      </c>
      <c r="I21" s="43" t="n">
        <f aca="false">I16+I17+I18+I19</f>
        <v>4084431.61170324</v>
      </c>
      <c r="J21" s="43" t="n">
        <f aca="false">J16+J17+J18+J19</f>
        <v>4227082.29859057</v>
      </c>
      <c r="K21" s="43" t="n">
        <f aca="false">K16+K17+K18+K19</f>
        <v>4374718.1490309</v>
      </c>
      <c r="L21" s="43" t="n">
        <f aca="false">L16+L17+L18+L19</f>
        <v>4527513.45348638</v>
      </c>
      <c r="M21" s="5"/>
      <c r="N21" s="5"/>
      <c r="O21" s="5"/>
      <c r="P21" s="5"/>
      <c r="Q21" s="5"/>
      <c r="R21" s="5"/>
      <c r="S21" s="5"/>
      <c r="T21" s="5"/>
      <c r="U21" s="5"/>
      <c r="V21" s="5"/>
      <c r="W21" s="5"/>
      <c r="X21" s="5"/>
      <c r="Y21" s="5"/>
      <c r="Z21" s="5"/>
      <c r="AA21" s="5"/>
      <c r="AB21" s="5"/>
      <c r="AC21" s="5"/>
      <c r="AD21"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3"/>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138</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27" t="s">
        <v>123</v>
      </c>
      <c r="C3" s="38" t="n">
        <v>1</v>
      </c>
      <c r="D3" s="38" t="n">
        <v>2</v>
      </c>
      <c r="E3" s="38" t="n">
        <v>3</v>
      </c>
      <c r="F3" s="38" t="n">
        <v>4</v>
      </c>
      <c r="G3" s="38" t="n">
        <v>5</v>
      </c>
      <c r="H3" s="38" t="n">
        <v>6</v>
      </c>
      <c r="I3" s="38" t="n">
        <v>7</v>
      </c>
      <c r="J3" s="38" t="n">
        <v>8</v>
      </c>
      <c r="K3" s="38" t="n">
        <v>9</v>
      </c>
      <c r="L3" s="38" t="n">
        <v>10</v>
      </c>
      <c r="M3" s="1"/>
      <c r="N3" s="1"/>
      <c r="O3" s="1"/>
      <c r="P3" s="1"/>
      <c r="Q3" s="1"/>
      <c r="R3" s="1"/>
      <c r="S3" s="1"/>
      <c r="T3" s="1"/>
      <c r="U3" s="1"/>
      <c r="V3" s="1"/>
      <c r="W3" s="1"/>
      <c r="X3" s="1"/>
      <c r="Y3" s="1"/>
      <c r="Z3" s="1"/>
      <c r="AA3" s="1"/>
      <c r="AB3" s="1"/>
      <c r="AC3" s="1"/>
      <c r="AD3" s="1"/>
    </row>
    <row r="4" customFormat="false" ht="15" hidden="false" customHeight="false" outlineLevel="0" collapsed="false">
      <c r="A4" s="5"/>
      <c r="B4" s="28" t="s">
        <v>139</v>
      </c>
      <c r="C4" s="20"/>
      <c r="D4" s="20"/>
      <c r="E4" s="20"/>
      <c r="F4" s="20"/>
      <c r="G4" s="20"/>
      <c r="H4" s="20"/>
      <c r="I4" s="20"/>
      <c r="J4" s="20"/>
      <c r="K4" s="20"/>
      <c r="L4" s="20"/>
      <c r="M4" s="5"/>
      <c r="N4" s="5"/>
      <c r="O4" s="5"/>
      <c r="P4" s="5"/>
      <c r="Q4" s="5"/>
      <c r="R4" s="5"/>
      <c r="S4" s="5"/>
      <c r="T4" s="5"/>
      <c r="U4" s="5"/>
      <c r="V4" s="5"/>
      <c r="W4" s="5"/>
      <c r="X4" s="5"/>
      <c r="Y4" s="5"/>
      <c r="Z4" s="5"/>
      <c r="AA4" s="5"/>
      <c r="AB4" s="5"/>
      <c r="AC4" s="5"/>
      <c r="AD4" s="5"/>
    </row>
    <row r="5" customFormat="false" ht="15" hidden="false" customHeight="false" outlineLevel="0" collapsed="false">
      <c r="A5" s="5"/>
      <c r="B5" s="44" t="s">
        <v>140</v>
      </c>
      <c r="C5" s="9" t="n">
        <f aca="false">RR_Gross_Rev_Y1</f>
        <v>3070486.8</v>
      </c>
      <c r="D5" s="9" t="n">
        <f aca="false">RR_Gross_Rev_Y2</f>
        <v>3440256.762</v>
      </c>
      <c r="E5" s="9" t="n">
        <f aca="false">RR_Gross_Rev_Y3</f>
        <v>3560396.68617</v>
      </c>
      <c r="F5" s="9" t="n">
        <f aca="false">RR_Gross_Rev_Y4</f>
        <v>3684734.78112345</v>
      </c>
      <c r="G5" s="9" t="n">
        <f aca="false">RR_Gross_Rev_Y5</f>
        <v>3813417.81467371</v>
      </c>
      <c r="H5" s="9" t="n">
        <f aca="false">RR_Gross_Rev_Y6</f>
        <v>3946597.6873035</v>
      </c>
      <c r="I5" s="9" t="n">
        <f aca="false">RR_Gross_Rev_Y7</f>
        <v>4084431.61170324</v>
      </c>
      <c r="J5" s="9" t="n">
        <f aca="false">RR_Gross_Rev_Y8</f>
        <v>4227082.29859057</v>
      </c>
      <c r="K5" s="9" t="n">
        <f aca="false">RR_Gross_Rev_Y9</f>
        <v>4374718.1490309</v>
      </c>
      <c r="L5" s="9" t="n">
        <f aca="false">RR_Gross_Rev_Y10</f>
        <v>4527513.45348638</v>
      </c>
      <c r="M5" s="5"/>
      <c r="N5" s="5"/>
      <c r="O5" s="5"/>
      <c r="P5" s="5"/>
      <c r="Q5" s="5"/>
      <c r="R5" s="5"/>
      <c r="S5" s="5"/>
      <c r="T5" s="5"/>
      <c r="U5" s="5"/>
      <c r="V5" s="5"/>
      <c r="W5" s="5"/>
      <c r="X5" s="5"/>
      <c r="Y5" s="5"/>
      <c r="Z5" s="5"/>
      <c r="AA5" s="5"/>
      <c r="AB5" s="5"/>
      <c r="AC5" s="5"/>
      <c r="AD5" s="5"/>
    </row>
    <row r="6" customFormat="false" ht="15" hidden="false" customHeight="false" outlineLevel="0" collapsed="false">
      <c r="A6" s="5"/>
      <c r="B6" s="28" t="s">
        <v>138</v>
      </c>
      <c r="C6" s="20"/>
      <c r="D6" s="20"/>
      <c r="E6" s="20"/>
      <c r="F6" s="20"/>
      <c r="G6" s="20"/>
      <c r="H6" s="20"/>
      <c r="I6" s="20"/>
      <c r="J6" s="20"/>
      <c r="K6" s="20"/>
      <c r="L6" s="20"/>
      <c r="M6" s="5"/>
      <c r="N6" s="5"/>
      <c r="O6" s="5"/>
      <c r="P6" s="5"/>
      <c r="Q6" s="5"/>
      <c r="R6" s="5"/>
      <c r="S6" s="5"/>
      <c r="T6" s="5"/>
      <c r="U6" s="5"/>
      <c r="V6" s="5"/>
      <c r="W6" s="5"/>
      <c r="X6" s="5"/>
      <c r="Y6" s="5"/>
      <c r="Z6" s="5"/>
      <c r="AA6" s="5"/>
      <c r="AB6" s="5"/>
      <c r="AC6" s="5"/>
      <c r="AD6" s="5"/>
    </row>
    <row r="7" customFormat="false" ht="15" hidden="false" customHeight="false" outlineLevel="0" collapsed="false">
      <c r="A7" s="5"/>
      <c r="B7" s="45" t="s">
        <v>141</v>
      </c>
      <c r="C7" s="41" t="n">
        <f aca="false">C5*Mgmt_Fee_Pct</f>
        <v>153524.34</v>
      </c>
      <c r="D7" s="41" t="n">
        <f aca="false">D5*Mgmt_Fee_Pct</f>
        <v>172012.8381</v>
      </c>
      <c r="E7" s="41" t="n">
        <f aca="false">E5*Mgmt_Fee_Pct</f>
        <v>178019.8343085</v>
      </c>
      <c r="F7" s="41" t="n">
        <f aca="false">F5*Mgmt_Fee_Pct</f>
        <v>184236.739056172</v>
      </c>
      <c r="G7" s="41" t="n">
        <f aca="false">G5*Mgmt_Fee_Pct</f>
        <v>190670.890733685</v>
      </c>
      <c r="H7" s="41" t="n">
        <f aca="false">H5*Mgmt_Fee_Pct</f>
        <v>197329.884365175</v>
      </c>
      <c r="I7" s="41" t="n">
        <f aca="false">I5*Mgmt_Fee_Pct</f>
        <v>204221.580585162</v>
      </c>
      <c r="J7" s="41" t="n">
        <f aca="false">J5*Mgmt_Fee_Pct</f>
        <v>211354.114929528</v>
      </c>
      <c r="K7" s="41" t="n">
        <f aca="false">K5*Mgmt_Fee_Pct</f>
        <v>218735.907451545</v>
      </c>
      <c r="L7" s="41" t="n">
        <f aca="false">L5*Mgmt_Fee_Pct</f>
        <v>226375.672674319</v>
      </c>
      <c r="M7" s="5"/>
      <c r="N7" s="5"/>
      <c r="O7" s="5"/>
      <c r="P7" s="5"/>
      <c r="Q7" s="5"/>
      <c r="R7" s="5"/>
      <c r="S7" s="5"/>
      <c r="T7" s="5"/>
      <c r="U7" s="5"/>
      <c r="V7" s="5"/>
      <c r="W7" s="5"/>
      <c r="X7" s="5"/>
      <c r="Y7" s="5"/>
      <c r="Z7" s="5"/>
      <c r="AA7" s="5"/>
      <c r="AB7" s="5"/>
      <c r="AC7" s="5"/>
      <c r="AD7" s="5"/>
    </row>
    <row r="8" customFormat="false" ht="15" hidden="false" customHeight="false" outlineLevel="0" collapsed="false">
      <c r="A8" s="5"/>
      <c r="B8" s="45" t="s">
        <v>142</v>
      </c>
      <c r="C8" s="41" t="n">
        <f aca="false">C5*Maintenance_Pct*(1+Opex_Escal)^0</f>
        <v>138171.906</v>
      </c>
      <c r="D8" s="41" t="n">
        <f aca="false">D5*Maintenance_Pct*(1+Opex_Escal)^1</f>
        <v>158681.84314725</v>
      </c>
      <c r="E8" s="41" t="n">
        <f aca="false">E5*Maintenance_Pct*(1+Opex_Escal)^2</f>
        <v>168328.879578331</v>
      </c>
      <c r="F8" s="41" t="n">
        <f aca="false">F5*Maintenance_Pct*(1+Opex_Escal)^3</f>
        <v>178562.535363147</v>
      </c>
      <c r="G8" s="41" t="n">
        <f aca="false">G5*Maintenance_Pct*(1+Opex_Escal)^4</f>
        <v>189418.488352913</v>
      </c>
      <c r="H8" s="41" t="n">
        <f aca="false">H5*Maintenance_Pct*(1+Opex_Escal)^5</f>
        <v>200934.586637564</v>
      </c>
      <c r="I8" s="41" t="n">
        <f aca="false">I5*Maintenance_Pct*(1+Opex_Escal)^6</f>
        <v>213150.980575481</v>
      </c>
      <c r="J8" s="41" t="n">
        <f aca="false">J5*Maintenance_Pct*(1+Opex_Escal)^7</f>
        <v>226110.262856296</v>
      </c>
      <c r="K8" s="41" t="n">
        <f aca="false">K5*Maintenance_Pct*(1+Opex_Escal)^8</f>
        <v>239857.617085581</v>
      </c>
      <c r="L8" s="41" t="n">
        <f aca="false">L5*Maintenance_Pct*(1+Opex_Escal)^9</f>
        <v>254440.975409956</v>
      </c>
      <c r="M8" s="5"/>
      <c r="N8" s="5"/>
      <c r="O8" s="5"/>
      <c r="P8" s="5"/>
      <c r="Q8" s="5"/>
      <c r="R8" s="5"/>
      <c r="S8" s="5"/>
      <c r="T8" s="5"/>
      <c r="U8" s="5"/>
      <c r="V8" s="5"/>
      <c r="W8" s="5"/>
      <c r="X8" s="5"/>
      <c r="Y8" s="5"/>
      <c r="Z8" s="5"/>
      <c r="AA8" s="5"/>
      <c r="AB8" s="5"/>
      <c r="AC8" s="5"/>
      <c r="AD8" s="5"/>
    </row>
    <row r="9" customFormat="false" ht="15" hidden="false" customHeight="false" outlineLevel="0" collapsed="false">
      <c r="A9" s="5"/>
      <c r="B9" s="45" t="s">
        <v>143</v>
      </c>
      <c r="C9" s="41" t="n">
        <f aca="false">C5*Utility_Budget_Pct*Utility_Fixed_Pct*(1+Opex_Escal)^0</f>
        <v>171947.2608</v>
      </c>
      <c r="D9" s="41" t="n">
        <f aca="false">D5*Utility_Budget_Pct*Utility_Fixed_Pct*(1+Opex_Escal)^1</f>
        <v>197470.7381388</v>
      </c>
      <c r="E9" s="41" t="n">
        <f aca="false">E5*Utility_Budget_Pct*Utility_Fixed_Pct*(1+Opex_Escal)^2</f>
        <v>209475.939030812</v>
      </c>
      <c r="F9" s="41" t="n">
        <f aca="false">F5*Utility_Budget_Pct*Utility_Fixed_Pct*(1+Opex_Escal)^3</f>
        <v>222211.155118583</v>
      </c>
      <c r="G9" s="41" t="n">
        <f aca="false">G5*Utility_Budget_Pct*Utility_Fixed_Pct*(1+Opex_Escal)^4</f>
        <v>235720.785505848</v>
      </c>
      <c r="H9" s="41" t="n">
        <f aca="false">H5*Utility_Budget_Pct*Utility_Fixed_Pct*(1+Opex_Escal)^5</f>
        <v>250051.930037858</v>
      </c>
      <c r="I9" s="41" t="n">
        <f aca="false">I5*Utility_Budget_Pct*Utility_Fixed_Pct*(1+Opex_Escal)^6</f>
        <v>265254.553605043</v>
      </c>
      <c r="J9" s="41" t="n">
        <f aca="false">J5*Utility_Budget_Pct*Utility_Fixed_Pct*(1+Opex_Escal)^7</f>
        <v>281381.660443391</v>
      </c>
      <c r="K9" s="41" t="n">
        <f aca="false">K5*Utility_Budget_Pct*Utility_Fixed_Pct*(1+Opex_Escal)^8</f>
        <v>298489.479039834</v>
      </c>
      <c r="L9" s="41" t="n">
        <f aca="false">L5*Utility_Budget_Pct*Utility_Fixed_Pct*(1+Opex_Escal)^9</f>
        <v>316637.658287945</v>
      </c>
      <c r="M9" s="5"/>
      <c r="N9" s="5"/>
      <c r="O9" s="5"/>
      <c r="P9" s="5"/>
      <c r="Q9" s="5"/>
      <c r="R9" s="5"/>
      <c r="S9" s="5"/>
      <c r="T9" s="5"/>
      <c r="U9" s="5"/>
      <c r="V9" s="5"/>
      <c r="W9" s="5"/>
      <c r="X9" s="5"/>
      <c r="Y9" s="5"/>
      <c r="Z9" s="5"/>
      <c r="AA9" s="5"/>
      <c r="AB9" s="5"/>
      <c r="AC9" s="5"/>
      <c r="AD9" s="5"/>
    </row>
    <row r="10" customFormat="false" ht="15" hidden="false" customHeight="false" outlineLevel="0" collapsed="false">
      <c r="A10" s="5"/>
      <c r="B10" s="45" t="s">
        <v>144</v>
      </c>
      <c r="C10" s="41" t="n">
        <f aca="false">C5*Utility_Budget_Pct*(1-Utility_Fixed_Pct)*Rent_Roll!C$9</f>
        <v>38688.13368</v>
      </c>
      <c r="D10" s="41" t="n">
        <f aca="false">D5*Utility_Budget_Pct*(1-Utility_Fixed_Pct)*Rent_Roll!D$9</f>
        <v>47200.32277464</v>
      </c>
      <c r="E10" s="41" t="n">
        <f aca="false">E5*Utility_Budget_Pct*(1-Utility_Fixed_Pct)*Rent_Roll!E$9</f>
        <v>48848.6425342524</v>
      </c>
      <c r="F10" s="41" t="n">
        <f aca="false">F5*Utility_Budget_Pct*(1-Utility_Fixed_Pct)*Rent_Roll!F$9</f>
        <v>50554.5611970137</v>
      </c>
      <c r="G10" s="41" t="n">
        <f aca="false">G5*Utility_Budget_Pct*(1-Utility_Fixed_Pct)*Rent_Roll!G$9</f>
        <v>52320.0924173233</v>
      </c>
      <c r="H10" s="41" t="n">
        <f aca="false">H5*Utility_Budget_Pct*(1-Utility_Fixed_Pct)*Rent_Roll!H$9</f>
        <v>54147.320269804</v>
      </c>
      <c r="I10" s="41" t="n">
        <f aca="false">I5*Utility_Budget_Pct*(1-Utility_Fixed_Pct)*Rent_Roll!I$9</f>
        <v>56038.4017125684</v>
      </c>
      <c r="J10" s="41" t="n">
        <f aca="false">J5*Utility_Budget_Pct*(1-Utility_Fixed_Pct)*Rent_Roll!J$9</f>
        <v>57995.5691366626</v>
      </c>
      <c r="K10" s="41" t="n">
        <f aca="false">K5*Utility_Budget_Pct*(1-Utility_Fixed_Pct)*Rent_Roll!K$9</f>
        <v>60021.1330047039</v>
      </c>
      <c r="L10" s="41" t="n">
        <f aca="false">L5*Utility_Budget_Pct*(1-Utility_Fixed_Pct)*Rent_Roll!L$9</f>
        <v>62117.4845818332</v>
      </c>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45" t="s">
        <v>145</v>
      </c>
      <c r="C11" s="41" t="n">
        <f aca="false">C5*Insurance_Pct*(1+Opex_Escal)^0</f>
        <v>46057.302</v>
      </c>
      <c r="D11" s="41" t="n">
        <f aca="false">D5*Insurance_Pct*(1+Opex_Escal)^1</f>
        <v>52893.94771575</v>
      </c>
      <c r="E11" s="41" t="n">
        <f aca="false">E5*Insurance_Pct*(1+Opex_Escal)^2</f>
        <v>56109.6265261103</v>
      </c>
      <c r="F11" s="41" t="n">
        <f aca="false">F5*Insurance_Pct*(1+Opex_Escal)^3</f>
        <v>59520.845121049</v>
      </c>
      <c r="G11" s="41" t="n">
        <f aca="false">G5*Insurance_Pct*(1+Opex_Escal)^4</f>
        <v>63139.4961176378</v>
      </c>
      <c r="H11" s="41" t="n">
        <f aca="false">H5*Insurance_Pct*(1+Opex_Escal)^5</f>
        <v>66978.1955458548</v>
      </c>
      <c r="I11" s="41" t="n">
        <f aca="false">I5*Insurance_Pct*(1+Opex_Escal)^6</f>
        <v>71050.3268584936</v>
      </c>
      <c r="J11" s="41" t="n">
        <f aca="false">J5*Insurance_Pct*(1+Opex_Escal)^7</f>
        <v>75370.0876187653</v>
      </c>
      <c r="K11" s="41" t="n">
        <f aca="false">K5*Insurance_Pct*(1+Opex_Escal)^8</f>
        <v>79952.539028527</v>
      </c>
      <c r="L11" s="41" t="n">
        <f aca="false">L5*Insurance_Pct*(1+Opex_Escal)^9</f>
        <v>84813.6584699852</v>
      </c>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45" t="s">
        <v>146</v>
      </c>
      <c r="C12" s="41" t="n">
        <f aca="false">C5*Rates_Pct*(1+Opex_Escal)^0</f>
        <v>107467.038</v>
      </c>
      <c r="D12" s="41" t="n">
        <f aca="false">D5*Rates_Pct*(1+Opex_Escal)^1</f>
        <v>123419.21133675</v>
      </c>
      <c r="E12" s="41" t="n">
        <f aca="false">E5*Rates_Pct*(1+Opex_Escal)^2</f>
        <v>130922.461894257</v>
      </c>
      <c r="F12" s="41" t="n">
        <f aca="false">F5*Rates_Pct*(1+Opex_Escal)^3</f>
        <v>138881.971949114</v>
      </c>
      <c r="G12" s="41" t="n">
        <f aca="false">G5*Rates_Pct*(1+Opex_Escal)^4</f>
        <v>147325.490941155</v>
      </c>
      <c r="H12" s="41" t="n">
        <f aca="false">H5*Rates_Pct*(1+Opex_Escal)^5</f>
        <v>156282.456273661</v>
      </c>
      <c r="I12" s="41" t="n">
        <f aca="false">I5*Rates_Pct*(1+Opex_Escal)^6</f>
        <v>165784.096003152</v>
      </c>
      <c r="J12" s="41" t="n">
        <f aca="false">J5*Rates_Pct*(1+Opex_Escal)^7</f>
        <v>175863.537777119</v>
      </c>
      <c r="K12" s="41" t="n">
        <f aca="false">K5*Rates_Pct*(1+Opex_Escal)^8</f>
        <v>186555.924399897</v>
      </c>
      <c r="L12" s="41" t="n">
        <f aca="false">L5*Rates_Pct*(1+Opex_Escal)^9</f>
        <v>197898.536429966</v>
      </c>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45" t="s">
        <v>147</v>
      </c>
      <c r="C13" s="41" t="n">
        <f aca="false">C5*Security_Pct*(1+Opex_Escal)^0</f>
        <v>122819.472</v>
      </c>
      <c r="D13" s="41" t="n">
        <f aca="false">D5*Security_Pct*(1+Opex_Escal)^1</f>
        <v>141050.527242</v>
      </c>
      <c r="E13" s="41" t="n">
        <f aca="false">E5*Security_Pct*(1+Opex_Escal)^2</f>
        <v>149625.670736294</v>
      </c>
      <c r="F13" s="41" t="n">
        <f aca="false">F5*Security_Pct*(1+Opex_Escal)^3</f>
        <v>158722.253656131</v>
      </c>
      <c r="G13" s="41" t="n">
        <f aca="false">G5*Security_Pct*(1+Opex_Escal)^4</f>
        <v>168371.989647034</v>
      </c>
      <c r="H13" s="41" t="n">
        <f aca="false">H5*Security_Pct*(1+Opex_Escal)^5</f>
        <v>178608.521455613</v>
      </c>
      <c r="I13" s="41" t="n">
        <f aca="false">I5*Security_Pct*(1+Opex_Escal)^6</f>
        <v>189467.538289316</v>
      </c>
      <c r="J13" s="41" t="n">
        <f aca="false">J5*Security_Pct*(1+Opex_Escal)^7</f>
        <v>200986.900316708</v>
      </c>
      <c r="K13" s="41" t="n">
        <f aca="false">K5*Security_Pct*(1+Opex_Escal)^8</f>
        <v>213206.770742739</v>
      </c>
      <c r="L13" s="41" t="n">
        <f aca="false">L5*Security_Pct*(1+Opex_Escal)^9</f>
        <v>226169.755919961</v>
      </c>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45" t="s">
        <v>148</v>
      </c>
      <c r="C14" s="41" t="n">
        <f aca="false">C5*Marketing_Pct*(1+Opex_Escal)^0</f>
        <v>46057.302</v>
      </c>
      <c r="D14" s="41" t="n">
        <f aca="false">D5*Marketing_Pct*(1+Opex_Escal)^1</f>
        <v>52893.94771575</v>
      </c>
      <c r="E14" s="41" t="n">
        <f aca="false">E5*Marketing_Pct*(1+Opex_Escal)^2</f>
        <v>56109.6265261103</v>
      </c>
      <c r="F14" s="41" t="n">
        <f aca="false">F5*Marketing_Pct*(1+Opex_Escal)^3</f>
        <v>59520.845121049</v>
      </c>
      <c r="G14" s="41" t="n">
        <f aca="false">G5*Marketing_Pct*(1+Opex_Escal)^4</f>
        <v>63139.4961176378</v>
      </c>
      <c r="H14" s="41" t="n">
        <f aca="false">H5*Marketing_Pct*(1+Opex_Escal)^5</f>
        <v>66978.1955458548</v>
      </c>
      <c r="I14" s="41" t="n">
        <f aca="false">I5*Marketing_Pct*(1+Opex_Escal)^6</f>
        <v>71050.3268584936</v>
      </c>
      <c r="J14" s="41" t="n">
        <f aca="false">J5*Marketing_Pct*(1+Opex_Escal)^7</f>
        <v>75370.0876187653</v>
      </c>
      <c r="K14" s="41" t="n">
        <f aca="false">K5*Marketing_Pct*(1+Opex_Escal)^8</f>
        <v>79952.539028527</v>
      </c>
      <c r="L14" s="41" t="n">
        <f aca="false">L5*Marketing_Pct*(1+Opex_Escal)^9</f>
        <v>84813.6584699852</v>
      </c>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45" t="s">
        <v>149</v>
      </c>
      <c r="C15" s="41" t="n">
        <f aca="false">C5*Admin_Pct*(1+Opex_Escal)^0</f>
        <v>46057.302</v>
      </c>
      <c r="D15" s="41" t="n">
        <f aca="false">D5*Admin_Pct*(1+Opex_Escal)^1</f>
        <v>52893.94771575</v>
      </c>
      <c r="E15" s="41" t="n">
        <f aca="false">E5*Admin_Pct*(1+Opex_Escal)^2</f>
        <v>56109.6265261103</v>
      </c>
      <c r="F15" s="41" t="n">
        <f aca="false">F5*Admin_Pct*(1+Opex_Escal)^3</f>
        <v>59520.845121049</v>
      </c>
      <c r="G15" s="41" t="n">
        <f aca="false">G5*Admin_Pct*(1+Opex_Escal)^4</f>
        <v>63139.4961176378</v>
      </c>
      <c r="H15" s="41" t="n">
        <f aca="false">H5*Admin_Pct*(1+Opex_Escal)^5</f>
        <v>66978.1955458548</v>
      </c>
      <c r="I15" s="41" t="n">
        <f aca="false">I5*Admin_Pct*(1+Opex_Escal)^6</f>
        <v>71050.3268584936</v>
      </c>
      <c r="J15" s="41" t="n">
        <f aca="false">J5*Admin_Pct*(1+Opex_Escal)^7</f>
        <v>75370.0876187653</v>
      </c>
      <c r="K15" s="41" t="n">
        <f aca="false">K5*Admin_Pct*(1+Opex_Escal)^8</f>
        <v>79952.539028527</v>
      </c>
      <c r="L15" s="41" t="n">
        <f aca="false">L5*Admin_Pct*(1+Opex_Escal)^9</f>
        <v>84813.6584699852</v>
      </c>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28" t="s">
        <v>150</v>
      </c>
      <c r="C16" s="20"/>
      <c r="D16" s="20"/>
      <c r="E16" s="20"/>
      <c r="F16" s="20"/>
      <c r="G16" s="20"/>
      <c r="H16" s="20"/>
      <c r="I16" s="20"/>
      <c r="J16" s="20"/>
      <c r="K16" s="20"/>
      <c r="L16" s="20"/>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42" t="s">
        <v>151</v>
      </c>
      <c r="C17" s="43" t="n">
        <f aca="false">SUM(C7:C15)</f>
        <v>870790.05648</v>
      </c>
      <c r="D17" s="43" t="n">
        <f aca="false">SUM(D7:D15)</f>
        <v>998517.32388669</v>
      </c>
      <c r="E17" s="43" t="n">
        <f aca="false">SUM(E7:E15)</f>
        <v>1053550.30766078</v>
      </c>
      <c r="F17" s="43" t="n">
        <f aca="false">SUM(F7:F15)</f>
        <v>1111731.75170331</v>
      </c>
      <c r="G17" s="43" t="n">
        <f aca="false">SUM(G7:G15)</f>
        <v>1173246.22595087</v>
      </c>
      <c r="H17" s="43" t="n">
        <f aca="false">SUM(H7:H15)</f>
        <v>1238289.28567724</v>
      </c>
      <c r="I17" s="43" t="n">
        <f aca="false">SUM(I7:I15)</f>
        <v>1307068.1313462</v>
      </c>
      <c r="J17" s="43" t="n">
        <f aca="false">SUM(J7:J15)</f>
        <v>1379802.308316</v>
      </c>
      <c r="K17" s="43" t="n">
        <f aca="false">SUM(K7:K15)</f>
        <v>1456724.44880988</v>
      </c>
      <c r="L17" s="43" t="n">
        <f aca="false">SUM(L7:L15)</f>
        <v>1538081.05871394</v>
      </c>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28" t="s">
        <v>152</v>
      </c>
      <c r="C18" s="20"/>
      <c r="D18" s="20"/>
      <c r="E18" s="20"/>
      <c r="F18" s="20"/>
      <c r="G18" s="20"/>
      <c r="H18" s="20"/>
      <c r="I18" s="20"/>
      <c r="J18" s="20"/>
      <c r="K18" s="20"/>
      <c r="L18" s="20"/>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42" t="s">
        <v>153</v>
      </c>
      <c r="C19" s="43" t="n">
        <f aca="false">C5-C17</f>
        <v>2199696.74352</v>
      </c>
      <c r="D19" s="43" t="n">
        <f aca="false">D5-D17</f>
        <v>2441739.43811331</v>
      </c>
      <c r="E19" s="43" t="n">
        <f aca="false">E5-E17</f>
        <v>2506846.37850922</v>
      </c>
      <c r="F19" s="43" t="n">
        <f aca="false">F5-F17</f>
        <v>2573003.02942014</v>
      </c>
      <c r="G19" s="43" t="n">
        <f aca="false">G5-G17</f>
        <v>2640171.58872284</v>
      </c>
      <c r="H19" s="43" t="n">
        <f aca="false">H5-H17</f>
        <v>2708308.40162626</v>
      </c>
      <c r="I19" s="43" t="n">
        <f aca="false">I5-I17</f>
        <v>2777363.48035703</v>
      </c>
      <c r="J19" s="43" t="n">
        <f aca="false">J5-J17</f>
        <v>2847279.99027457</v>
      </c>
      <c r="K19" s="43" t="n">
        <f aca="false">K5-K17</f>
        <v>2917993.70022102</v>
      </c>
      <c r="L19" s="43" t="n">
        <f aca="false">L5-L17</f>
        <v>2989432.39477245</v>
      </c>
      <c r="M19" s="5"/>
      <c r="N19" s="5"/>
      <c r="O19" s="5"/>
      <c r="P19" s="5"/>
      <c r="Q19" s="5"/>
      <c r="R19" s="5"/>
      <c r="S19" s="5"/>
      <c r="T19" s="5"/>
      <c r="U19" s="5"/>
      <c r="V19" s="5"/>
      <c r="W19" s="5"/>
      <c r="X19" s="5"/>
      <c r="Y19" s="5"/>
      <c r="Z19" s="5"/>
      <c r="AA19" s="5"/>
      <c r="AB19" s="5"/>
      <c r="AC19" s="5"/>
      <c r="AD19"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18"/>
    <col collapsed="false" customWidth="true" hidden="false" outlineLevel="0" max="4" min="4" style="0" width="32"/>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154</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155</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19" t="s">
        <v>156</v>
      </c>
      <c r="C4" s="46" t="s">
        <v>157</v>
      </c>
      <c r="D4" s="46" t="s">
        <v>38</v>
      </c>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29" t="s">
        <v>96</v>
      </c>
      <c r="C5" s="41" t="n">
        <f aca="false">Land_Cost</f>
        <v>1750000</v>
      </c>
      <c r="D5" s="12" t="s">
        <v>98</v>
      </c>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29" t="s">
        <v>99</v>
      </c>
      <c r="C6" s="41" t="n">
        <f aca="false">Build_Cost</f>
        <v>22750000</v>
      </c>
      <c r="D6" s="12" t="s">
        <v>100</v>
      </c>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29" t="s">
        <v>101</v>
      </c>
      <c r="C7" s="41" t="n">
        <f aca="false">Prof_Fees</f>
        <v>2275000</v>
      </c>
      <c r="D7" s="12" t="s">
        <v>158</v>
      </c>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29" t="s">
        <v>103</v>
      </c>
      <c r="C8" s="41" t="n">
        <f aca="false">Contingency</f>
        <v>1343750</v>
      </c>
      <c r="D8" s="12" t="s">
        <v>104</v>
      </c>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47" t="s">
        <v>159</v>
      </c>
      <c r="C9" s="48" t="n">
        <f aca="false">C5+C6+C7+C8</f>
        <v>28118750</v>
      </c>
      <c r="D9" s="12" t="s">
        <v>160</v>
      </c>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28" t="s">
        <v>161</v>
      </c>
      <c r="C10" s="20"/>
      <c r="D10" s="20"/>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29" t="s">
        <v>162</v>
      </c>
      <c r="C11" s="41" t="n">
        <f aca="false">Dev_Sub*LTV</f>
        <v>15465312.5</v>
      </c>
      <c r="D11" s="12" t="s">
        <v>163</v>
      </c>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29" t="s">
        <v>164</v>
      </c>
      <c r="C12" s="41" t="n">
        <f aca="false">Dev_Debt_Pre*Interest_Rate*Constr_Yrs*0.5</f>
        <v>1005245.3125</v>
      </c>
      <c r="D12" s="12" t="s">
        <v>165</v>
      </c>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28" t="s">
        <v>166</v>
      </c>
      <c r="C13" s="20"/>
      <c r="D13" s="20"/>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42" t="s">
        <v>167</v>
      </c>
      <c r="C14" s="49" t="n">
        <f aca="false">C9+C12</f>
        <v>29123995.3125</v>
      </c>
      <c r="D14" s="12" t="s">
        <v>168</v>
      </c>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28" t="s">
        <v>169</v>
      </c>
      <c r="C15" s="20"/>
      <c r="D15" s="20"/>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29" t="s">
        <v>170</v>
      </c>
      <c r="C16" s="41" t="n">
        <f aca="false">Dev_TDC*LTV</f>
        <v>16018197.421875</v>
      </c>
      <c r="D16" s="12" t="s">
        <v>171</v>
      </c>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29" t="s">
        <v>172</v>
      </c>
      <c r="C17" s="41" t="n">
        <f aca="false">Dev_TDC-Dev_Debt</f>
        <v>13105797.890625</v>
      </c>
      <c r="D17" s="12" t="s">
        <v>173</v>
      </c>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29" t="s">
        <v>174</v>
      </c>
      <c r="C18" s="41" t="n">
        <f aca="false">C16+C17-Dev_TDC</f>
        <v>0</v>
      </c>
      <c r="D18" s="12" t="s">
        <v>175</v>
      </c>
      <c r="E18" s="5"/>
      <c r="F18" s="5"/>
      <c r="G18" s="5"/>
      <c r="H18" s="5"/>
      <c r="I18" s="5"/>
      <c r="J18" s="5"/>
      <c r="K18" s="5"/>
      <c r="L18" s="5"/>
      <c r="M18" s="5"/>
      <c r="N18" s="5"/>
      <c r="O18" s="5"/>
      <c r="P18" s="5"/>
      <c r="Q18" s="5"/>
      <c r="R18" s="5"/>
      <c r="S18" s="5"/>
      <c r="T18" s="5"/>
      <c r="U18" s="5"/>
      <c r="V18" s="5"/>
      <c r="W18" s="5"/>
      <c r="X18" s="5"/>
      <c r="Y18" s="5"/>
      <c r="Z18" s="5"/>
      <c r="AA18" s="5"/>
      <c r="AB18" s="5"/>
      <c r="AC18" s="5"/>
      <c r="AD18"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3"/>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176</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27" t="s">
        <v>123</v>
      </c>
      <c r="C3" s="38" t="n">
        <v>1</v>
      </c>
      <c r="D3" s="38" t="n">
        <v>2</v>
      </c>
      <c r="E3" s="38" t="n">
        <v>3</v>
      </c>
      <c r="F3" s="38" t="n">
        <v>4</v>
      </c>
      <c r="G3" s="38" t="n">
        <v>5</v>
      </c>
      <c r="H3" s="38" t="n">
        <v>6</v>
      </c>
      <c r="I3" s="38" t="n">
        <v>7</v>
      </c>
      <c r="J3" s="38" t="n">
        <v>8</v>
      </c>
      <c r="K3" s="38" t="n">
        <v>9</v>
      </c>
      <c r="L3" s="38" t="n">
        <v>10</v>
      </c>
      <c r="M3" s="1"/>
      <c r="N3" s="1"/>
      <c r="O3" s="1"/>
      <c r="P3" s="1"/>
      <c r="Q3" s="1"/>
      <c r="R3" s="1"/>
      <c r="S3" s="1"/>
      <c r="T3" s="1"/>
      <c r="U3" s="1"/>
      <c r="V3" s="1"/>
      <c r="W3" s="1"/>
      <c r="X3" s="1"/>
      <c r="Y3" s="1"/>
      <c r="Z3" s="1"/>
      <c r="AA3" s="1"/>
      <c r="AB3" s="1"/>
      <c r="AC3" s="1"/>
      <c r="AD3" s="1"/>
    </row>
    <row r="4" customFormat="false" ht="15" hidden="false" customHeight="false" outlineLevel="0" collapsed="false">
      <c r="A4" s="5"/>
      <c r="B4" s="28" t="s">
        <v>177</v>
      </c>
      <c r="C4" s="50" t="n">
        <f aca="false">Dev_Debt</f>
        <v>16018197.421875</v>
      </c>
      <c r="D4" s="20"/>
      <c r="E4" s="20"/>
      <c r="F4" s="20"/>
      <c r="G4" s="20"/>
      <c r="H4" s="20"/>
      <c r="I4" s="20"/>
      <c r="J4" s="20"/>
      <c r="K4" s="20"/>
      <c r="L4" s="20"/>
      <c r="M4" s="5"/>
      <c r="N4" s="5"/>
      <c r="O4" s="5"/>
      <c r="P4" s="5"/>
      <c r="Q4" s="5"/>
      <c r="R4" s="5"/>
      <c r="S4" s="5"/>
      <c r="T4" s="5"/>
      <c r="U4" s="5"/>
      <c r="V4" s="5"/>
      <c r="W4" s="5"/>
      <c r="X4" s="5"/>
      <c r="Y4" s="5"/>
      <c r="Z4" s="5"/>
      <c r="AA4" s="5"/>
      <c r="AB4" s="5"/>
      <c r="AC4" s="5"/>
      <c r="AD4" s="5"/>
    </row>
    <row r="5" customFormat="false" ht="15" hidden="false" customHeight="false" outlineLevel="0" collapsed="false">
      <c r="A5" s="5"/>
      <c r="B5" s="7" t="s">
        <v>178</v>
      </c>
      <c r="C5" s="51" t="n">
        <v>1</v>
      </c>
      <c r="D5" s="51" t="n">
        <v>2</v>
      </c>
      <c r="E5" s="51" t="n">
        <v>3</v>
      </c>
      <c r="F5" s="51" t="n">
        <v>4</v>
      </c>
      <c r="G5" s="51" t="n">
        <v>5</v>
      </c>
      <c r="H5" s="51" t="n">
        <v>6</v>
      </c>
      <c r="I5" s="51" t="n">
        <v>7</v>
      </c>
      <c r="J5" s="51" t="n">
        <v>8</v>
      </c>
      <c r="K5" s="51" t="n">
        <v>9</v>
      </c>
      <c r="L5" s="51" t="n">
        <v>10</v>
      </c>
      <c r="M5" s="5"/>
      <c r="N5" s="5"/>
      <c r="O5" s="5"/>
      <c r="P5" s="5"/>
      <c r="Q5" s="5"/>
      <c r="R5" s="5"/>
      <c r="S5" s="5"/>
      <c r="T5" s="5"/>
      <c r="U5" s="5"/>
      <c r="V5" s="5"/>
      <c r="W5" s="5"/>
      <c r="X5" s="5"/>
      <c r="Y5" s="5"/>
      <c r="Z5" s="5"/>
      <c r="AA5" s="5"/>
      <c r="AB5" s="5"/>
      <c r="AC5" s="5"/>
      <c r="AD5" s="5"/>
    </row>
    <row r="6" customFormat="false" ht="15" hidden="false" customHeight="false" outlineLevel="0" collapsed="false">
      <c r="A6" s="5"/>
      <c r="B6" s="28" t="s">
        <v>179</v>
      </c>
      <c r="C6" s="20"/>
      <c r="D6" s="20"/>
      <c r="E6" s="20"/>
      <c r="F6" s="20"/>
      <c r="G6" s="20"/>
      <c r="H6" s="20"/>
      <c r="I6" s="20"/>
      <c r="J6" s="20"/>
      <c r="K6" s="20"/>
      <c r="L6" s="20"/>
      <c r="M6" s="5"/>
      <c r="N6" s="5"/>
      <c r="O6" s="5"/>
      <c r="P6" s="5"/>
      <c r="Q6" s="5"/>
      <c r="R6" s="5"/>
      <c r="S6" s="5"/>
      <c r="T6" s="5"/>
      <c r="U6" s="5"/>
      <c r="V6" s="5"/>
      <c r="W6" s="5"/>
      <c r="X6" s="5"/>
      <c r="Y6" s="5"/>
      <c r="Z6" s="5"/>
      <c r="AA6" s="5"/>
      <c r="AB6" s="5"/>
      <c r="AC6" s="5"/>
      <c r="AD6" s="5"/>
    </row>
    <row r="7" customFormat="false" ht="15" hidden="false" customHeight="false" outlineLevel="0" collapsed="false">
      <c r="A7" s="5"/>
      <c r="B7" s="29" t="s">
        <v>180</v>
      </c>
      <c r="C7" s="41" t="n">
        <f aca="false">Dev_Debt</f>
        <v>16018197.421875</v>
      </c>
      <c r="D7" s="41" t="n">
        <f aca="false">C11</f>
        <v>15746184.7053559</v>
      </c>
      <c r="E7" s="41" t="n">
        <f aca="false">D11</f>
        <v>15456491.162263</v>
      </c>
      <c r="F7" s="41" t="n">
        <f aca="false">E11</f>
        <v>15147967.5388692</v>
      </c>
      <c r="G7" s="41" t="n">
        <f aca="false">F11</f>
        <v>14819389.8799547</v>
      </c>
      <c r="H7" s="41" t="n">
        <f aca="false">G11</f>
        <v>14469454.6732108</v>
      </c>
      <c r="I7" s="41" t="n">
        <f aca="false">H11</f>
        <v>14096773.6780285</v>
      </c>
      <c r="J7" s="41" t="n">
        <f aca="false">I11</f>
        <v>13699868.4181593</v>
      </c>
      <c r="K7" s="41" t="n">
        <f aca="false">J11</f>
        <v>13277164.3163987</v>
      </c>
      <c r="L7" s="41" t="n">
        <f aca="false">K11</f>
        <v>12826984.4480236</v>
      </c>
      <c r="M7" s="5"/>
      <c r="N7" s="5"/>
      <c r="O7" s="5"/>
      <c r="P7" s="5"/>
      <c r="Q7" s="5"/>
      <c r="R7" s="5"/>
      <c r="S7" s="5"/>
      <c r="T7" s="5"/>
      <c r="U7" s="5"/>
      <c r="V7" s="5"/>
      <c r="W7" s="5"/>
      <c r="X7" s="5"/>
      <c r="Y7" s="5"/>
      <c r="Z7" s="5"/>
      <c r="AA7" s="5"/>
      <c r="AB7" s="5"/>
      <c r="AC7" s="5"/>
      <c r="AD7" s="5"/>
    </row>
    <row r="8" customFormat="false" ht="15" hidden="false" customHeight="false" outlineLevel="0" collapsed="false">
      <c r="A8" s="5"/>
      <c r="B8" s="29" t="s">
        <v>181</v>
      </c>
      <c r="C8" s="41" t="n">
        <f aca="false">-IPMT(Interest_Rate,C5,Amort_Yrs,Dev_Debt)</f>
        <v>1041182.83242188</v>
      </c>
      <c r="D8" s="41" t="n">
        <f aca="false">-IPMT(Interest_Rate,D5,Amort_Yrs,Dev_Debt)</f>
        <v>1023502.00584813</v>
      </c>
      <c r="E8" s="41" t="n">
        <f aca="false">-IPMT(Interest_Rate,E5,Amort_Yrs,Dev_Debt)</f>
        <v>1004671.9255471</v>
      </c>
      <c r="F8" s="41" t="n">
        <f aca="false">-IPMT(Interest_Rate,F5,Amort_Yrs,Dev_Debt)</f>
        <v>984617.890026496</v>
      </c>
      <c r="G8" s="41" t="n">
        <f aca="false">-IPMT(Interest_Rate,G5,Amort_Yrs,Dev_Debt)</f>
        <v>963260.342197054</v>
      </c>
      <c r="H8" s="41" t="n">
        <f aca="false">-IPMT(Interest_Rate,H5,Amort_Yrs,Dev_Debt)</f>
        <v>940514.553758699</v>
      </c>
      <c r="I8" s="41" t="n">
        <f aca="false">-IPMT(Interest_Rate,I5,Amort_Yrs,Dev_Debt)</f>
        <v>916290.289071851</v>
      </c>
      <c r="J8" s="41" t="n">
        <f aca="false">-IPMT(Interest_Rate,J5,Amort_Yrs,Dev_Debt)</f>
        <v>890491.447180357</v>
      </c>
      <c r="K8" s="41" t="n">
        <f aca="false">-IPMT(Interest_Rate,K5,Amort_Yrs,Dev_Debt)</f>
        <v>863015.680565917</v>
      </c>
      <c r="L8" s="41" t="n">
        <f aca="false">-IPMT(Interest_Rate,L5,Amort_Yrs,Dev_Debt)</f>
        <v>833753.989121537</v>
      </c>
      <c r="M8" s="5"/>
      <c r="N8" s="5"/>
      <c r="O8" s="5"/>
      <c r="P8" s="5"/>
      <c r="Q8" s="5"/>
      <c r="R8" s="5"/>
      <c r="S8" s="5"/>
      <c r="T8" s="5"/>
      <c r="U8" s="5"/>
      <c r="V8" s="5"/>
      <c r="W8" s="5"/>
      <c r="X8" s="5"/>
      <c r="Y8" s="5"/>
      <c r="Z8" s="5"/>
      <c r="AA8" s="5"/>
      <c r="AB8" s="5"/>
      <c r="AC8" s="5"/>
      <c r="AD8" s="5"/>
    </row>
    <row r="9" customFormat="false" ht="15" hidden="false" customHeight="false" outlineLevel="0" collapsed="false">
      <c r="A9" s="5"/>
      <c r="B9" s="29" t="s">
        <v>182</v>
      </c>
      <c r="C9" s="41" t="n">
        <f aca="false">-PPMT(Interest_Rate,C5,Amort_Yrs,Dev_Debt)</f>
        <v>272012.716519107</v>
      </c>
      <c r="D9" s="41" t="n">
        <f aca="false">-PPMT(Interest_Rate,D5,Amort_Yrs,Dev_Debt)</f>
        <v>289693.543092849</v>
      </c>
      <c r="E9" s="41" t="n">
        <f aca="false">-PPMT(Interest_Rate,E5,Amort_Yrs,Dev_Debt)</f>
        <v>308523.623393884</v>
      </c>
      <c r="F9" s="41" t="n">
        <f aca="false">-PPMT(Interest_Rate,F5,Amort_Yrs,Dev_Debt)</f>
        <v>328577.658914486</v>
      </c>
      <c r="G9" s="41" t="n">
        <f aca="false">-PPMT(Interest_Rate,G5,Amort_Yrs,Dev_Debt)</f>
        <v>349935.206743928</v>
      </c>
      <c r="H9" s="41" t="n">
        <f aca="false">-PPMT(Interest_Rate,H5,Amort_Yrs,Dev_Debt)</f>
        <v>372680.995182283</v>
      </c>
      <c r="I9" s="41" t="n">
        <f aca="false">-PPMT(Interest_Rate,I5,Amort_Yrs,Dev_Debt)</f>
        <v>396905.259869131</v>
      </c>
      <c r="J9" s="41" t="n">
        <f aca="false">-PPMT(Interest_Rate,J5,Amort_Yrs,Dev_Debt)</f>
        <v>422704.101760625</v>
      </c>
      <c r="K9" s="41" t="n">
        <f aca="false">-PPMT(Interest_Rate,K5,Amort_Yrs,Dev_Debt)</f>
        <v>450179.868375065</v>
      </c>
      <c r="L9" s="41" t="n">
        <f aca="false">-PPMT(Interest_Rate,L5,Amort_Yrs,Dev_Debt)</f>
        <v>479441.559819445</v>
      </c>
      <c r="M9" s="5"/>
      <c r="N9" s="5"/>
      <c r="O9" s="5"/>
      <c r="P9" s="5"/>
      <c r="Q9" s="5"/>
      <c r="R9" s="5"/>
      <c r="S9" s="5"/>
      <c r="T9" s="5"/>
      <c r="U9" s="5"/>
      <c r="V9" s="5"/>
      <c r="W9" s="5"/>
      <c r="X9" s="5"/>
      <c r="Y9" s="5"/>
      <c r="Z9" s="5"/>
      <c r="AA9" s="5"/>
      <c r="AB9" s="5"/>
      <c r="AC9" s="5"/>
      <c r="AD9" s="5"/>
    </row>
    <row r="10" customFormat="false" ht="15" hidden="false" customHeight="false" outlineLevel="0" collapsed="false">
      <c r="A10" s="5"/>
      <c r="B10" s="47" t="s">
        <v>183</v>
      </c>
      <c r="C10" s="52" t="n">
        <f aca="false">C8+C9</f>
        <v>1313195.54894098</v>
      </c>
      <c r="D10" s="52" t="n">
        <f aca="false">D8+D9</f>
        <v>1313195.54894098</v>
      </c>
      <c r="E10" s="52" t="n">
        <f aca="false">E8+E9</f>
        <v>1313195.54894098</v>
      </c>
      <c r="F10" s="52" t="n">
        <f aca="false">F8+F9</f>
        <v>1313195.54894098</v>
      </c>
      <c r="G10" s="52" t="n">
        <f aca="false">G8+G9</f>
        <v>1313195.54894098</v>
      </c>
      <c r="H10" s="52" t="n">
        <f aca="false">H8+H9</f>
        <v>1313195.54894098</v>
      </c>
      <c r="I10" s="52" t="n">
        <f aca="false">I8+I9</f>
        <v>1313195.54894098</v>
      </c>
      <c r="J10" s="52" t="n">
        <f aca="false">J8+J9</f>
        <v>1313195.54894098</v>
      </c>
      <c r="K10" s="52" t="n">
        <f aca="false">K8+K9</f>
        <v>1313195.54894098</v>
      </c>
      <c r="L10" s="52" t="n">
        <f aca="false">L8+L9</f>
        <v>1313195.54894098</v>
      </c>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47" t="s">
        <v>184</v>
      </c>
      <c r="C11" s="52" t="n">
        <f aca="false">C7-C9</f>
        <v>15746184.7053559</v>
      </c>
      <c r="D11" s="52" t="n">
        <f aca="false">D7-D9</f>
        <v>15456491.162263</v>
      </c>
      <c r="E11" s="52" t="n">
        <f aca="false">E7-E9</f>
        <v>15147967.5388692</v>
      </c>
      <c r="F11" s="52" t="n">
        <f aca="false">F7-F9</f>
        <v>14819389.8799547</v>
      </c>
      <c r="G11" s="52" t="n">
        <f aca="false">G7-G9</f>
        <v>14469454.6732108</v>
      </c>
      <c r="H11" s="52" t="n">
        <f aca="false">H7-H9</f>
        <v>14096773.6780285</v>
      </c>
      <c r="I11" s="52" t="n">
        <f aca="false">I7-I9</f>
        <v>13699868.4181593</v>
      </c>
      <c r="J11" s="52" t="n">
        <f aca="false">J7-J9</f>
        <v>13277164.3163987</v>
      </c>
      <c r="K11" s="52" t="n">
        <f aca="false">K7-K9</f>
        <v>12826984.4480236</v>
      </c>
      <c r="L11" s="52" t="n">
        <f aca="false">L7-L9</f>
        <v>12347542.8882042</v>
      </c>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28" t="s">
        <v>185</v>
      </c>
      <c r="C12" s="20"/>
      <c r="D12" s="20"/>
      <c r="E12" s="20"/>
      <c r="F12" s="20"/>
      <c r="G12" s="20"/>
      <c r="H12" s="20"/>
      <c r="I12" s="20"/>
      <c r="J12" s="20"/>
      <c r="K12" s="20"/>
      <c r="L12" s="20"/>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29" t="s">
        <v>186</v>
      </c>
      <c r="C13" s="41" t="n">
        <f aca="false">Opex_NOI_Y1</f>
        <v>2199696.74352</v>
      </c>
      <c r="D13" s="41" t="n">
        <f aca="false">Opex_NOI_Y2</f>
        <v>2441739.43811331</v>
      </c>
      <c r="E13" s="41" t="n">
        <f aca="false">Opex_NOI_Y3</f>
        <v>2506846.37850922</v>
      </c>
      <c r="F13" s="41" t="n">
        <f aca="false">Opex_NOI_Y4</f>
        <v>2573003.02942014</v>
      </c>
      <c r="G13" s="41" t="n">
        <f aca="false">Opex_NOI_Y5</f>
        <v>2640171.58872284</v>
      </c>
      <c r="H13" s="41" t="n">
        <f aca="false">Opex_NOI_Y6</f>
        <v>2708308.40162626</v>
      </c>
      <c r="I13" s="41" t="n">
        <f aca="false">Opex_NOI_Y7</f>
        <v>2777363.48035703</v>
      </c>
      <c r="J13" s="41" t="n">
        <f aca="false">Opex_NOI_Y8</f>
        <v>2847279.99027457</v>
      </c>
      <c r="K13" s="41" t="n">
        <f aca="false">Opex_NOI_Y9</f>
        <v>2917993.70022102</v>
      </c>
      <c r="L13" s="41" t="n">
        <f aca="false">Opex_NOI_Y10</f>
        <v>2989432.39477245</v>
      </c>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29" t="s">
        <v>187</v>
      </c>
      <c r="C14" s="53" t="n">
        <f aca="false">IF(C10&gt;0,C13/C10,0)</f>
        <v>1.67507173268591</v>
      </c>
      <c r="D14" s="53" t="n">
        <f aca="false">IF(D10&gt;0,D13/D10,0)</f>
        <v>1.85938753758527</v>
      </c>
      <c r="E14" s="53" t="n">
        <f aca="false">IF(E10&gt;0,E13/E10,0)</f>
        <v>1.90896655150168</v>
      </c>
      <c r="F14" s="53" t="n">
        <f aca="false">IF(F10&gt;0,F13/F10,0)</f>
        <v>1.95934492124583</v>
      </c>
      <c r="G14" s="53" t="n">
        <f aca="false">IF(G10&gt;0,G13/G10,0)</f>
        <v>2.01049386045512</v>
      </c>
      <c r="H14" s="53" t="n">
        <f aca="false">IF(H10&gt;0,H13/H10,0)</f>
        <v>2.06238012595333</v>
      </c>
      <c r="I14" s="53" t="n">
        <f aca="false">IF(I10&gt;0,I13/I10,0)</f>
        <v>2.11496565199054</v>
      </c>
      <c r="J14" s="53" t="n">
        <f aca="false">IF(J10&gt;0,J13/J10,0)</f>
        <v>2.16820715891913</v>
      </c>
      <c r="K14" s="53" t="n">
        <f aca="false">IF(K10&gt;0,K13/K10,0)</f>
        <v>2.22205573463466</v>
      </c>
      <c r="L14" s="53" t="n">
        <f aca="false">IF(L10&gt;0,L13/L10,0)</f>
        <v>2.2764563870044</v>
      </c>
      <c r="M14" s="5"/>
      <c r="N14" s="5"/>
      <c r="O14" s="5"/>
      <c r="P14" s="5"/>
      <c r="Q14" s="5"/>
      <c r="R14" s="5"/>
      <c r="S14" s="5"/>
      <c r="T14" s="5"/>
      <c r="U14" s="5"/>
      <c r="V14" s="5"/>
      <c r="W14" s="5"/>
      <c r="X14" s="5"/>
      <c r="Y14" s="5"/>
      <c r="Z14" s="5"/>
      <c r="AA14" s="5"/>
      <c r="AB14" s="5"/>
      <c r="AC14" s="5"/>
      <c r="AD14"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16"/>
    <col collapsed="false" customWidth="true" hidden="false" outlineLevel="0" max="2" min="2" style="0" width="14"/>
    <col collapsed="false" customWidth="true" hidden="false" outlineLevel="0" max="12" min="3" style="0" width="13"/>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188</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3" t="s">
        <v>123</v>
      </c>
      <c r="B3" s="38" t="s">
        <v>189</v>
      </c>
      <c r="C3" s="38" t="n">
        <v>1</v>
      </c>
      <c r="D3" s="38" t="n">
        <v>2</v>
      </c>
      <c r="E3" s="38" t="n">
        <v>3</v>
      </c>
      <c r="F3" s="38" t="n">
        <v>4</v>
      </c>
      <c r="G3" s="38" t="n">
        <v>5</v>
      </c>
      <c r="H3" s="38" t="n">
        <v>6</v>
      </c>
      <c r="I3" s="38" t="n">
        <v>7</v>
      </c>
      <c r="J3" s="38" t="n">
        <v>8</v>
      </c>
      <c r="K3" s="38" t="n">
        <v>9</v>
      </c>
      <c r="L3" s="38" t="n">
        <v>10</v>
      </c>
      <c r="M3" s="1"/>
      <c r="N3" s="1"/>
      <c r="O3" s="1"/>
      <c r="P3" s="1"/>
      <c r="Q3" s="1"/>
      <c r="R3" s="1"/>
      <c r="S3" s="1"/>
      <c r="T3" s="1"/>
      <c r="U3" s="1"/>
      <c r="V3" s="1"/>
      <c r="W3" s="1"/>
      <c r="X3" s="1"/>
      <c r="Y3" s="1"/>
      <c r="Z3" s="1"/>
      <c r="AA3" s="1"/>
      <c r="AB3" s="1"/>
      <c r="AC3" s="1"/>
      <c r="AD3" s="1"/>
    </row>
    <row r="4" customFormat="false" ht="15" hidden="false" customHeight="false" outlineLevel="0" collapsed="false">
      <c r="A4" s="5"/>
      <c r="B4" s="28" t="s">
        <v>190</v>
      </c>
      <c r="C4" s="20"/>
      <c r="D4" s="20"/>
      <c r="E4" s="20"/>
      <c r="F4" s="20"/>
      <c r="G4" s="20"/>
      <c r="H4" s="20"/>
      <c r="I4" s="20"/>
      <c r="J4" s="20"/>
      <c r="K4" s="20"/>
      <c r="L4" s="20"/>
      <c r="M4" s="5"/>
      <c r="N4" s="5"/>
      <c r="O4" s="5"/>
      <c r="P4" s="5"/>
      <c r="Q4" s="5"/>
      <c r="R4" s="5"/>
      <c r="S4" s="5"/>
      <c r="T4" s="5"/>
      <c r="U4" s="5"/>
      <c r="V4" s="5"/>
      <c r="W4" s="5"/>
      <c r="X4" s="5"/>
      <c r="Y4" s="5"/>
      <c r="Z4" s="5"/>
      <c r="AA4" s="5"/>
      <c r="AB4" s="5"/>
      <c r="AC4" s="5"/>
      <c r="AD4" s="5"/>
    </row>
    <row r="5" customFormat="false" ht="15" hidden="false" customHeight="false" outlineLevel="0" collapsed="false">
      <c r="A5" s="5"/>
      <c r="B5" s="29" t="s">
        <v>153</v>
      </c>
      <c r="C5" s="41" t="n">
        <f aca="false">Opex_NOI_Y1</f>
        <v>2199696.74352</v>
      </c>
      <c r="D5" s="41" t="n">
        <f aca="false">Opex_NOI_Y2</f>
        <v>2441739.43811331</v>
      </c>
      <c r="E5" s="41" t="n">
        <f aca="false">Opex_NOI_Y3</f>
        <v>2506846.37850922</v>
      </c>
      <c r="F5" s="41" t="n">
        <f aca="false">Opex_NOI_Y4</f>
        <v>2573003.02942014</v>
      </c>
      <c r="G5" s="41" t="n">
        <f aca="false">Opex_NOI_Y5</f>
        <v>2640171.58872284</v>
      </c>
      <c r="H5" s="41" t="n">
        <f aca="false">Opex_NOI_Y6</f>
        <v>2708308.40162626</v>
      </c>
      <c r="I5" s="41" t="n">
        <f aca="false">Opex_NOI_Y7</f>
        <v>2777363.48035703</v>
      </c>
      <c r="J5" s="41" t="n">
        <f aca="false">Opex_NOI_Y8</f>
        <v>2847279.99027457</v>
      </c>
      <c r="K5" s="41" t="n">
        <f aca="false">Opex_NOI_Y9</f>
        <v>2917993.70022102</v>
      </c>
      <c r="L5" s="41" t="n">
        <f aca="false">Opex_NOI_Y10</f>
        <v>2989432.39477245</v>
      </c>
      <c r="M5" s="5"/>
      <c r="N5" s="5"/>
      <c r="O5" s="5"/>
      <c r="P5" s="5"/>
      <c r="Q5" s="5"/>
      <c r="R5" s="5"/>
      <c r="S5" s="5"/>
      <c r="T5" s="5"/>
      <c r="U5" s="5"/>
      <c r="V5" s="5"/>
      <c r="W5" s="5"/>
      <c r="X5" s="5"/>
      <c r="Y5" s="5"/>
      <c r="Z5" s="5"/>
      <c r="AA5" s="5"/>
      <c r="AB5" s="5"/>
      <c r="AC5" s="5"/>
      <c r="AD5" s="5"/>
    </row>
    <row r="6" customFormat="false" ht="15" hidden="false" customHeight="false" outlineLevel="0" collapsed="false">
      <c r="A6" s="5"/>
      <c r="B6" s="29" t="s">
        <v>181</v>
      </c>
      <c r="C6" s="41" t="n">
        <f aca="false">-DS_Interest_Y1</f>
        <v>-1041182.83242188</v>
      </c>
      <c r="D6" s="41" t="n">
        <f aca="false">-DS_Interest_Y2</f>
        <v>-1023502.00584813</v>
      </c>
      <c r="E6" s="41" t="n">
        <f aca="false">-DS_Interest_Y3</f>
        <v>-1004671.9255471</v>
      </c>
      <c r="F6" s="41" t="n">
        <f aca="false">-DS_Interest_Y4</f>
        <v>-984617.890026496</v>
      </c>
      <c r="G6" s="41" t="n">
        <f aca="false">-DS_Interest_Y5</f>
        <v>-963260.342197054</v>
      </c>
      <c r="H6" s="41" t="n">
        <f aca="false">-DS_Interest_Y6</f>
        <v>-940514.553758699</v>
      </c>
      <c r="I6" s="41" t="n">
        <f aca="false">-DS_Interest_Y7</f>
        <v>-916290.289071851</v>
      </c>
      <c r="J6" s="41" t="n">
        <f aca="false">-DS_Interest_Y8</f>
        <v>-890491.447180357</v>
      </c>
      <c r="K6" s="41" t="n">
        <f aca="false">-DS_Interest_Y9</f>
        <v>-863015.680565917</v>
      </c>
      <c r="L6" s="41" t="n">
        <f aca="false">-DS_Interest_Y10</f>
        <v>-833753.989121537</v>
      </c>
      <c r="M6" s="5"/>
      <c r="N6" s="5"/>
      <c r="O6" s="5"/>
      <c r="P6" s="5"/>
      <c r="Q6" s="5"/>
      <c r="R6" s="5"/>
      <c r="S6" s="5"/>
      <c r="T6" s="5"/>
      <c r="U6" s="5"/>
      <c r="V6" s="5"/>
      <c r="W6" s="5"/>
      <c r="X6" s="5"/>
      <c r="Y6" s="5"/>
      <c r="Z6" s="5"/>
      <c r="AA6" s="5"/>
      <c r="AB6" s="5"/>
      <c r="AC6" s="5"/>
      <c r="AD6" s="5"/>
    </row>
    <row r="7" customFormat="false" ht="15" hidden="false" customHeight="false" outlineLevel="0" collapsed="false">
      <c r="A7" s="5"/>
      <c r="B7" s="29" t="s">
        <v>182</v>
      </c>
      <c r="C7" s="41" t="n">
        <f aca="false">-DS_Principal_Y1</f>
        <v>-272012.716519107</v>
      </c>
      <c r="D7" s="41" t="n">
        <f aca="false">-DS_Principal_Y2</f>
        <v>-289693.543092849</v>
      </c>
      <c r="E7" s="41" t="n">
        <f aca="false">-DS_Principal_Y3</f>
        <v>-308523.623393884</v>
      </c>
      <c r="F7" s="41" t="n">
        <f aca="false">-DS_Principal_Y4</f>
        <v>-328577.658914486</v>
      </c>
      <c r="G7" s="41" t="n">
        <f aca="false">-DS_Principal_Y5</f>
        <v>-349935.206743928</v>
      </c>
      <c r="H7" s="41" t="n">
        <f aca="false">-DS_Principal_Y6</f>
        <v>-372680.995182283</v>
      </c>
      <c r="I7" s="41" t="n">
        <f aca="false">-DS_Principal_Y7</f>
        <v>-396905.259869131</v>
      </c>
      <c r="J7" s="41" t="n">
        <f aca="false">-DS_Principal_Y8</f>
        <v>-422704.101760625</v>
      </c>
      <c r="K7" s="41" t="n">
        <f aca="false">-DS_Principal_Y9</f>
        <v>-450179.868375065</v>
      </c>
      <c r="L7" s="41" t="n">
        <f aca="false">-DS_Principal_Y10</f>
        <v>-479441.559819445</v>
      </c>
      <c r="M7" s="5"/>
      <c r="N7" s="5"/>
      <c r="O7" s="5"/>
      <c r="P7" s="5"/>
      <c r="Q7" s="5"/>
      <c r="R7" s="5"/>
      <c r="S7" s="5"/>
      <c r="T7" s="5"/>
      <c r="U7" s="5"/>
      <c r="V7" s="5"/>
      <c r="W7" s="5"/>
      <c r="X7" s="5"/>
      <c r="Y7" s="5"/>
      <c r="Z7" s="5"/>
      <c r="AA7" s="5"/>
      <c r="AB7" s="5"/>
      <c r="AC7" s="5"/>
      <c r="AD7" s="5"/>
    </row>
    <row r="8" customFormat="false" ht="15" hidden="false" customHeight="false" outlineLevel="0" collapsed="false">
      <c r="A8" s="5"/>
      <c r="B8" s="54" t="s">
        <v>191</v>
      </c>
      <c r="C8" s="48" t="n">
        <f aca="false">C5+C6+C7</f>
        <v>886501.194579018</v>
      </c>
      <c r="D8" s="48" t="n">
        <f aca="false">D5+D6+D7</f>
        <v>1128543.88917233</v>
      </c>
      <c r="E8" s="48" t="n">
        <f aca="false">E5+E6+E7</f>
        <v>1193650.82956824</v>
      </c>
      <c r="F8" s="48" t="n">
        <f aca="false">F5+F6+F7</f>
        <v>1259807.48047916</v>
      </c>
      <c r="G8" s="48" t="n">
        <f aca="false">G5+G6+G7</f>
        <v>1326976.03978185</v>
      </c>
      <c r="H8" s="48" t="n">
        <f aca="false">H5+H6+H7</f>
        <v>1395112.85268528</v>
      </c>
      <c r="I8" s="48" t="n">
        <f aca="false">I5+I6+I7</f>
        <v>1464167.93141605</v>
      </c>
      <c r="J8" s="48" t="n">
        <f aca="false">J5+J6+J7</f>
        <v>1534084.44133359</v>
      </c>
      <c r="K8" s="48" t="n">
        <f aca="false">K5+K6+K7</f>
        <v>1604798.15128004</v>
      </c>
      <c r="L8" s="48" t="n">
        <f aca="false">L5+L6+L7</f>
        <v>1676236.84583147</v>
      </c>
      <c r="M8" s="5"/>
      <c r="N8" s="5"/>
      <c r="O8" s="5"/>
      <c r="P8" s="5"/>
      <c r="Q8" s="5"/>
      <c r="R8" s="5"/>
      <c r="S8" s="5"/>
      <c r="T8" s="5"/>
      <c r="U8" s="5"/>
      <c r="V8" s="5"/>
      <c r="W8" s="5"/>
      <c r="X8" s="5"/>
      <c r="Y8" s="5"/>
      <c r="Z8" s="5"/>
      <c r="AA8" s="5"/>
      <c r="AB8" s="5"/>
      <c r="AC8" s="5"/>
      <c r="AD8" s="5"/>
    </row>
    <row r="9" customFormat="false" ht="15" hidden="false" customHeight="false" outlineLevel="0" collapsed="false">
      <c r="A9" s="5"/>
      <c r="B9" s="29" t="s">
        <v>192</v>
      </c>
      <c r="C9" s="41" t="n">
        <f aca="false">IF(C8&gt;0,-C8*Tax_Rate,0)</f>
        <v>-221625.298644755</v>
      </c>
      <c r="D9" s="41" t="n">
        <f aca="false">IF(D8&gt;0,-D8*Tax_Rate,0)</f>
        <v>-282135.972293082</v>
      </c>
      <c r="E9" s="41" t="n">
        <f aca="false">IF(E8&gt;0,-E8*Tax_Rate,0)</f>
        <v>-298412.70739206</v>
      </c>
      <c r="F9" s="41" t="n">
        <f aca="false">IF(F8&gt;0,-F8*Tax_Rate,0)</f>
        <v>-314951.87011979</v>
      </c>
      <c r="G9" s="41" t="n">
        <f aca="false">IF(G8&gt;0,-G8*Tax_Rate,0)</f>
        <v>-331744.009945463</v>
      </c>
      <c r="H9" s="41" t="n">
        <f aca="false">IF(H8&gt;0,-H8*Tax_Rate,0)</f>
        <v>-348778.213171319</v>
      </c>
      <c r="I9" s="41" t="n">
        <f aca="false">IF(I8&gt;0,-I8*Tax_Rate,0)</f>
        <v>-366041.982854013</v>
      </c>
      <c r="J9" s="41" t="n">
        <f aca="false">IF(J8&gt;0,-J8*Tax_Rate,0)</f>
        <v>-383521.110333396</v>
      </c>
      <c r="K9" s="41" t="n">
        <f aca="false">IF(K8&gt;0,-K8*Tax_Rate,0)</f>
        <v>-401199.537820009</v>
      </c>
      <c r="L9" s="41" t="n">
        <f aca="false">IF(L8&gt;0,-L8*Tax_Rate,0)</f>
        <v>-419059.211457867</v>
      </c>
      <c r="M9" s="5"/>
      <c r="N9" s="5"/>
      <c r="O9" s="5"/>
      <c r="P9" s="5"/>
      <c r="Q9" s="5"/>
      <c r="R9" s="5"/>
      <c r="S9" s="5"/>
      <c r="T9" s="5"/>
      <c r="U9" s="5"/>
      <c r="V9" s="5"/>
      <c r="W9" s="5"/>
      <c r="X9" s="5"/>
      <c r="Y9" s="5"/>
      <c r="Z9" s="5"/>
      <c r="AA9" s="5"/>
      <c r="AB9" s="5"/>
      <c r="AC9" s="5"/>
      <c r="AD9" s="5"/>
    </row>
    <row r="10" customFormat="false" ht="15" hidden="false" customHeight="false" outlineLevel="0" collapsed="false">
      <c r="A10" s="5"/>
      <c r="B10" s="47" t="s">
        <v>193</v>
      </c>
      <c r="C10" s="52" t="n">
        <f aca="false">C8+C9</f>
        <v>664875.895934264</v>
      </c>
      <c r="D10" s="52" t="n">
        <f aca="false">D8+D9</f>
        <v>846407.916879247</v>
      </c>
      <c r="E10" s="52" t="n">
        <f aca="false">E8+E9</f>
        <v>895238.12217618</v>
      </c>
      <c r="F10" s="52" t="n">
        <f aca="false">F8+F9</f>
        <v>944855.610359369</v>
      </c>
      <c r="G10" s="52" t="n">
        <f aca="false">G8+G9</f>
        <v>995232.02983639</v>
      </c>
      <c r="H10" s="52" t="n">
        <f aca="false">H8+H9</f>
        <v>1046334.63951396</v>
      </c>
      <c r="I10" s="52" t="n">
        <f aca="false">I8+I9</f>
        <v>1098125.94856204</v>
      </c>
      <c r="J10" s="52" t="n">
        <f aca="false">J8+J9</f>
        <v>1150563.33100019</v>
      </c>
      <c r="K10" s="52" t="n">
        <f aca="false">K8+K9</f>
        <v>1203598.61346003</v>
      </c>
      <c r="L10" s="52" t="n">
        <f aca="false">L8+L9</f>
        <v>1257177.6343736</v>
      </c>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28" t="s">
        <v>194</v>
      </c>
      <c r="C11" s="20"/>
      <c r="D11" s="20"/>
      <c r="E11" s="20"/>
      <c r="F11" s="20"/>
      <c r="G11" s="20"/>
      <c r="H11" s="20"/>
      <c r="I11" s="20"/>
      <c r="J11" s="20"/>
      <c r="K11" s="20"/>
      <c r="L11" s="20"/>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29" t="s">
        <v>195</v>
      </c>
      <c r="C12" s="41" t="n">
        <f aca="false">0</f>
        <v>0</v>
      </c>
      <c r="D12" s="41" t="n">
        <f aca="false">0</f>
        <v>0</v>
      </c>
      <c r="E12" s="41" t="n">
        <f aca="false">0</f>
        <v>0</v>
      </c>
      <c r="F12" s="41" t="n">
        <f aca="false">0</f>
        <v>0</v>
      </c>
      <c r="G12" s="41" t="n">
        <f aca="false">0</f>
        <v>0</v>
      </c>
      <c r="H12" s="41" t="n">
        <f aca="false">0</f>
        <v>0</v>
      </c>
      <c r="I12" s="41" t="n">
        <f aca="false">0</f>
        <v>0</v>
      </c>
      <c r="J12" s="41" t="n">
        <f aca="false">0</f>
        <v>0</v>
      </c>
      <c r="K12" s="41" t="n">
        <f aca="false">0</f>
        <v>0</v>
      </c>
      <c r="L12" s="41" t="n">
        <f aca="false">Opex_NOI_Y10*(1+Rent_Growth)/Exit_Cap</f>
        <v>58934524.3540854</v>
      </c>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29" t="s">
        <v>196</v>
      </c>
      <c r="C13" s="41" t="n">
        <f aca="false">0</f>
        <v>0</v>
      </c>
      <c r="D13" s="41" t="n">
        <f aca="false">0</f>
        <v>0</v>
      </c>
      <c r="E13" s="41" t="n">
        <f aca="false">0</f>
        <v>0</v>
      </c>
      <c r="F13" s="41" t="n">
        <f aca="false">0</f>
        <v>0</v>
      </c>
      <c r="G13" s="41" t="n">
        <f aca="false">0</f>
        <v>0</v>
      </c>
      <c r="H13" s="41" t="n">
        <f aca="false">0</f>
        <v>0</v>
      </c>
      <c r="I13" s="41" t="n">
        <f aca="false">0</f>
        <v>0</v>
      </c>
      <c r="J13" s="41" t="n">
        <f aca="false">0</f>
        <v>0</v>
      </c>
      <c r="K13" s="41" t="n">
        <f aca="false">0</f>
        <v>0</v>
      </c>
      <c r="L13" s="41" t="n">
        <f aca="false">-DS_Closing_Y10</f>
        <v>-12347542.8882042</v>
      </c>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29" t="s">
        <v>117</v>
      </c>
      <c r="C14" s="41" t="n">
        <f aca="false">0</f>
        <v>0</v>
      </c>
      <c r="D14" s="41" t="n">
        <f aca="false">0</f>
        <v>0</v>
      </c>
      <c r="E14" s="41" t="n">
        <f aca="false">0</f>
        <v>0</v>
      </c>
      <c r="F14" s="41" t="n">
        <f aca="false">0</f>
        <v>0</v>
      </c>
      <c r="G14" s="41" t="n">
        <f aca="false">0</f>
        <v>0</v>
      </c>
      <c r="H14" s="41" t="n">
        <f aca="false">0</f>
        <v>0</v>
      </c>
      <c r="I14" s="41" t="n">
        <f aca="false">0</f>
        <v>0</v>
      </c>
      <c r="J14" s="41" t="n">
        <f aca="false">0</f>
        <v>0</v>
      </c>
      <c r="K14" s="41" t="n">
        <f aca="false">0</f>
        <v>0</v>
      </c>
      <c r="L14" s="41" t="n">
        <f aca="false">-L12*Selling_Costs</f>
        <v>-884017.865311281</v>
      </c>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47" t="s">
        <v>197</v>
      </c>
      <c r="C15" s="52" t="n">
        <f aca="false">0</f>
        <v>0</v>
      </c>
      <c r="D15" s="52" t="n">
        <f aca="false">0</f>
        <v>0</v>
      </c>
      <c r="E15" s="52" t="n">
        <f aca="false">0</f>
        <v>0</v>
      </c>
      <c r="F15" s="52" t="n">
        <f aca="false">0</f>
        <v>0</v>
      </c>
      <c r="G15" s="52" t="n">
        <f aca="false">0</f>
        <v>0</v>
      </c>
      <c r="H15" s="52" t="n">
        <f aca="false">0</f>
        <v>0</v>
      </c>
      <c r="I15" s="52" t="n">
        <f aca="false">0</f>
        <v>0</v>
      </c>
      <c r="J15" s="52" t="n">
        <f aca="false">0</f>
        <v>0</v>
      </c>
      <c r="K15" s="52" t="n">
        <f aca="false">0</f>
        <v>0</v>
      </c>
      <c r="L15" s="52" t="n">
        <f aca="false">L12+L13+L14</f>
        <v>45702963.6005699</v>
      </c>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28" t="s">
        <v>198</v>
      </c>
      <c r="C16" s="20"/>
      <c r="D16" s="20"/>
      <c r="E16" s="20"/>
      <c r="F16" s="20"/>
      <c r="G16" s="20"/>
      <c r="H16" s="20"/>
      <c r="I16" s="20"/>
      <c r="J16" s="20"/>
      <c r="K16" s="20"/>
      <c r="L16" s="20"/>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44" t="s">
        <v>199</v>
      </c>
      <c r="B17" s="9" t="n">
        <f aca="false">-Dev_Equity</f>
        <v>-13105797.890625</v>
      </c>
      <c r="C17" s="9" t="n">
        <f aca="false">C10+C15</f>
        <v>664875.895934264</v>
      </c>
      <c r="D17" s="9" t="n">
        <f aca="false">D10+D15</f>
        <v>846407.916879247</v>
      </c>
      <c r="E17" s="9" t="n">
        <f aca="false">E10+E15</f>
        <v>895238.12217618</v>
      </c>
      <c r="F17" s="9" t="n">
        <f aca="false">F10+F15</f>
        <v>944855.610359369</v>
      </c>
      <c r="G17" s="9" t="n">
        <f aca="false">G10+G15</f>
        <v>995232.02983639</v>
      </c>
      <c r="H17" s="9" t="n">
        <f aca="false">H10+H15</f>
        <v>1046334.63951396</v>
      </c>
      <c r="I17" s="9" t="n">
        <f aca="false">I10+I15</f>
        <v>1098125.94856204</v>
      </c>
      <c r="J17" s="9" t="n">
        <f aca="false">J10+J15</f>
        <v>1150563.33100019</v>
      </c>
      <c r="K17" s="9" t="n">
        <f aca="false">K10+K15</f>
        <v>1203598.61346003</v>
      </c>
      <c r="L17" s="9" t="n">
        <f aca="false">L10+L15</f>
        <v>46960141.2349435</v>
      </c>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6" t="s">
        <v>7</v>
      </c>
      <c r="C19" s="10" t="n">
        <f aca="false">IRR(B17:L17)</f>
        <v>0.177975414105256</v>
      </c>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6" t="s">
        <v>200</v>
      </c>
      <c r="C20" s="10" t="n">
        <f aca="false">IRR(B21:L21)</f>
        <v>0.139872872018741</v>
      </c>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5" t="s">
        <v>201</v>
      </c>
      <c r="B21" s="56" t="n">
        <f aca="false">-Dev_TDC</f>
        <v>-29123995.3125</v>
      </c>
      <c r="C21" s="56" t="n">
        <f aca="false">C5</f>
        <v>2199696.74352</v>
      </c>
      <c r="D21" s="56" t="n">
        <f aca="false">D5</f>
        <v>2441739.43811331</v>
      </c>
      <c r="E21" s="56" t="n">
        <f aca="false">E5</f>
        <v>2506846.37850922</v>
      </c>
      <c r="F21" s="56" t="n">
        <f aca="false">F5</f>
        <v>2573003.02942014</v>
      </c>
      <c r="G21" s="56" t="n">
        <f aca="false">G5</f>
        <v>2640171.58872284</v>
      </c>
      <c r="H21" s="56" t="n">
        <f aca="false">H5</f>
        <v>2708308.40162626</v>
      </c>
      <c r="I21" s="56" t="n">
        <f aca="false">I5</f>
        <v>2777363.48035703</v>
      </c>
      <c r="J21" s="56" t="n">
        <f aca="false">J5</f>
        <v>2847279.99027457</v>
      </c>
      <c r="K21" s="56" t="n">
        <f aca="false">K5</f>
        <v>2917993.70022102</v>
      </c>
      <c r="L21" s="56" t="n">
        <f aca="false">L5+L12+L14</f>
        <v>61039938.8835466</v>
      </c>
      <c r="M21" s="5"/>
      <c r="N21" s="5"/>
      <c r="O21" s="5"/>
      <c r="P21" s="5"/>
      <c r="Q21" s="5"/>
      <c r="R21" s="5"/>
      <c r="S21" s="5"/>
      <c r="T21" s="5"/>
      <c r="U21" s="5"/>
      <c r="V21" s="5"/>
      <c r="W21" s="5"/>
      <c r="X21" s="5"/>
      <c r="Y21" s="5"/>
      <c r="Z21" s="5"/>
      <c r="AA21" s="5"/>
      <c r="AB21" s="5"/>
      <c r="AC21" s="5"/>
      <c r="AD21"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18"/>
    <col collapsed="false" customWidth="true" hidden="false" outlineLevel="0" max="4" min="4"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202</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203</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19" t="s">
        <v>204</v>
      </c>
      <c r="C4" s="46" t="s">
        <v>36</v>
      </c>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29" t="s">
        <v>4</v>
      </c>
      <c r="C5" s="39" t="n">
        <f aca="false">Total_Beds</f>
        <v>350</v>
      </c>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29" t="s">
        <v>5</v>
      </c>
      <c r="C6" s="41" t="n">
        <f aca="false">Dev_TDC</f>
        <v>29123995.3125</v>
      </c>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29" t="s">
        <v>205</v>
      </c>
      <c r="C7" s="41" t="n">
        <f aca="false">Dev_TDC/Total_Beds</f>
        <v>83211.4151785714</v>
      </c>
      <c r="D7" s="5"/>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29" t="s">
        <v>170</v>
      </c>
      <c r="C8" s="41" t="n">
        <f aca="false">Dev_Debt</f>
        <v>16018197.421875</v>
      </c>
      <c r="D8" s="5"/>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29" t="s">
        <v>6</v>
      </c>
      <c r="C9" s="40" t="n">
        <f aca="false">Dev_Debt/Dev_TDC</f>
        <v>0.55</v>
      </c>
      <c r="D9" s="5"/>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29" t="s">
        <v>206</v>
      </c>
      <c r="C10" s="41" t="n">
        <f aca="false">Dev_Equity</f>
        <v>13105797.890625</v>
      </c>
      <c r="D10" s="5"/>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28" t="s">
        <v>207</v>
      </c>
      <c r="C11" s="20"/>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29" t="s">
        <v>208</v>
      </c>
      <c r="C12" s="41" t="n">
        <f aca="false">Opex_NOI_Y1</f>
        <v>2199696.74352</v>
      </c>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29" t="s">
        <v>209</v>
      </c>
      <c r="C13" s="41" t="n">
        <f aca="false">Opex_NOI_Y3</f>
        <v>2506846.37850922</v>
      </c>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29" t="s">
        <v>210</v>
      </c>
      <c r="C14" s="40" t="n">
        <f aca="false">C13/Dev_TDC</f>
        <v>0.0860749478775422</v>
      </c>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29" t="s">
        <v>211</v>
      </c>
      <c r="C15" s="40" t="n">
        <f aca="false">C14-Exit_Cap</f>
        <v>0.0335749478775422</v>
      </c>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28" t="s">
        <v>212</v>
      </c>
      <c r="C16" s="20"/>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29" t="s">
        <v>213</v>
      </c>
      <c r="C17" s="41" t="n">
        <f aca="false">Opex_NOI_Y10*(1+Rent_Growth)/Exit_Cap</f>
        <v>58934524.3540854</v>
      </c>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29" t="s">
        <v>117</v>
      </c>
      <c r="C18" s="41" t="n">
        <f aca="false">C17*Selling_Costs</f>
        <v>884017.865311281</v>
      </c>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29" t="s">
        <v>196</v>
      </c>
      <c r="C19" s="41" t="n">
        <f aca="false">DS_Closing_Y10</f>
        <v>12347542.8882042</v>
      </c>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44" t="s">
        <v>214</v>
      </c>
      <c r="C20" s="9" t="n">
        <f aca="false">C17-C18-C19</f>
        <v>45702963.6005699</v>
      </c>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28" t="s">
        <v>215</v>
      </c>
      <c r="C21" s="20"/>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44" t="s">
        <v>7</v>
      </c>
      <c r="C22" s="10" t="n">
        <f aca="false">CF_Equity_IRR</f>
        <v>0.177975414105256</v>
      </c>
      <c r="D22" s="5"/>
      <c r="E22" s="5"/>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44" t="s">
        <v>200</v>
      </c>
      <c r="C23" s="10" t="n">
        <f aca="false">CF_Unlev_IRR</f>
        <v>0.139872872018741</v>
      </c>
      <c r="D23" s="5"/>
      <c r="E23" s="5"/>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44" t="s">
        <v>216</v>
      </c>
      <c r="C24" s="11" t="n">
        <f aca="false">(SUM(Cash_Flow!C10:L10)+Cash_Flow!L15+Dev_Equity)/Dev_Equity</f>
        <v>5.25806759789761</v>
      </c>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29" t="s">
        <v>8</v>
      </c>
      <c r="C25" s="53" t="n">
        <f aca="false">MIN(Debt_Schedule!C14:L14)</f>
        <v>1.67507173268591</v>
      </c>
      <c r="D25" s="5"/>
      <c r="E25" s="5"/>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29" t="s">
        <v>217</v>
      </c>
      <c r="C26" s="40" t="n">
        <f aca="false">Opex_NOI_Y3/RR_Gross_Rev_Y3</f>
        <v>0.704091875</v>
      </c>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28" t="s">
        <v>218</v>
      </c>
      <c r="C27" s="20"/>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29" t="s">
        <v>219</v>
      </c>
      <c r="C28" s="41" t="n">
        <f aca="false">NPV(Discount_Rate,Cash_Flow!C5:L5)-Dev_TDC</f>
        <v>-14502627.5402962</v>
      </c>
      <c r="D28" s="5"/>
      <c r="E28" s="5"/>
      <c r="F28" s="5"/>
      <c r="G28" s="5"/>
      <c r="H28" s="5"/>
      <c r="I28" s="5"/>
      <c r="J28" s="5"/>
      <c r="K28" s="5"/>
      <c r="L28" s="5"/>
      <c r="M28" s="5"/>
      <c r="N28" s="5"/>
      <c r="O28" s="5"/>
      <c r="P28" s="5"/>
      <c r="Q28" s="5"/>
      <c r="R28" s="5"/>
      <c r="S28" s="5"/>
      <c r="T28" s="5"/>
      <c r="U28" s="5"/>
      <c r="V28" s="5"/>
      <c r="W28" s="5"/>
      <c r="X28" s="5"/>
      <c r="Y28" s="5"/>
      <c r="Z28" s="5"/>
      <c r="AA28" s="5"/>
      <c r="AB28" s="5"/>
      <c r="AC28" s="5"/>
      <c r="AD28"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4" min="3" style="0" width="16"/>
    <col collapsed="false" customWidth="true" hidden="false" outlineLevel="0" max="5" min="5" style="0" width="12"/>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220</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221</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3" t="s">
        <v>222</v>
      </c>
      <c r="C4" s="27" t="s">
        <v>223</v>
      </c>
      <c r="D4" s="27" t="s">
        <v>224</v>
      </c>
      <c r="E4" s="27" t="s">
        <v>225</v>
      </c>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7" t="s">
        <v>226</v>
      </c>
      <c r="C5" s="57" t="n">
        <f aca="false">Ensuite_Beds+Studio_Beds</f>
        <v>350</v>
      </c>
      <c r="D5" s="58" t="n">
        <f aca="false">Total_Beds</f>
        <v>350</v>
      </c>
      <c r="E5" s="59" t="str">
        <f aca="false">IF(C5=D5,"PASS","FAIL")</f>
        <v>PASS</v>
      </c>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7" t="s">
        <v>227</v>
      </c>
      <c r="C6" s="60" t="n">
        <f aca="false">ABS(Dev_Debt+Dev_Equity-Dev_TDC)</f>
        <v>0</v>
      </c>
      <c r="D6" s="61" t="n">
        <v>0</v>
      </c>
      <c r="E6" s="59" t="str">
        <f aca="false">IF(C6&lt;=1,"PASS","FAIL")</f>
        <v>PASS</v>
      </c>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7" t="s">
        <v>8</v>
      </c>
      <c r="C7" s="62" t="n">
        <f aca="false">MIN(Debt_Schedule!C14:L14)</f>
        <v>1.67507173268591</v>
      </c>
      <c r="D7" s="63" t="n">
        <v>1.2</v>
      </c>
      <c r="E7" s="59" t="str">
        <f aca="false">IF(C7&gt;=D7,"PASS","FAIL")</f>
        <v>PASS</v>
      </c>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7" t="s">
        <v>228</v>
      </c>
      <c r="C8" s="64" t="n">
        <f aca="false">Opex_NOI_Y3/RR_Gross_Rev_Y3</f>
        <v>0.704091875</v>
      </c>
      <c r="D8" s="65" t="s">
        <v>229</v>
      </c>
      <c r="E8" s="59" t="str">
        <f aca="false">IF(AND(C8&gt;=0.55,C8&lt;=0.75),"PASS","FAIL")</f>
        <v>PASS</v>
      </c>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7" t="s">
        <v>230</v>
      </c>
      <c r="C9" s="60" t="n">
        <f aca="false">Cash_Flow!L12</f>
        <v>58934524.3540854</v>
      </c>
      <c r="D9" s="61" t="n">
        <f aca="false">Dev_TDC</f>
        <v>29123995.3125</v>
      </c>
      <c r="E9" s="59" t="str">
        <f aca="false">IF(C9&gt;D9,"PASS","FAIL")</f>
        <v>PASS</v>
      </c>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7" t="s">
        <v>211</v>
      </c>
      <c r="C10" s="64" t="n">
        <f aca="false">Opex_NOI_Y3/Dev_TDC-Exit_Cap</f>
        <v>0.0335749478775422</v>
      </c>
      <c r="D10" s="66" t="n">
        <v>0</v>
      </c>
      <c r="E10" s="59" t="str">
        <f aca="false">IF(C10&gt;0,"PASS","FAIL")</f>
        <v>PASS</v>
      </c>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7" t="s">
        <v>231</v>
      </c>
      <c r="C11" s="67" t="n">
        <f aca="false">ISNUMBER(CF_Equity_IRR)</f>
        <v>1</v>
      </c>
      <c r="D11" s="65" t="s">
        <v>232</v>
      </c>
      <c r="E11" s="59" t="str">
        <f aca="false">IF(C11=TRUE(),"PASS","FAIL")</f>
        <v>PASS</v>
      </c>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7" t="s">
        <v>233</v>
      </c>
      <c r="C12" s="60" t="n">
        <f aca="false">MIN(Cash_Flow!C10:L10)</f>
        <v>664875.895934264</v>
      </c>
      <c r="D12" s="66" t="n">
        <v>0</v>
      </c>
      <c r="E12" s="59" t="str">
        <f aca="false">IF(C12&gt;=D12,"PASS","FAIL")</f>
        <v>PASS</v>
      </c>
      <c r="F12" s="5"/>
      <c r="G12" s="5"/>
      <c r="H12" s="5"/>
      <c r="I12" s="5"/>
      <c r="J12" s="5"/>
      <c r="K12" s="5"/>
      <c r="L12" s="5"/>
      <c r="M12" s="5"/>
      <c r="N12" s="5"/>
      <c r="O12" s="5"/>
      <c r="P12" s="5"/>
      <c r="Q12" s="5"/>
      <c r="R12" s="5"/>
      <c r="S12" s="5"/>
      <c r="T12" s="5"/>
      <c r="U12" s="5"/>
      <c r="V12" s="5"/>
      <c r="W12" s="5"/>
      <c r="X12" s="5"/>
      <c r="Y12" s="5"/>
      <c r="Z12" s="5"/>
      <c r="AA12" s="5"/>
      <c r="AB12" s="5"/>
      <c r="AC12" s="5"/>
      <c r="AD12"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2026-05-15T18:53:54Z</dcterms:created>
  <dc:creator>openpyxl</dc:creator>
  <dc:description/>
  <dc:language>en-GB</dc:language>
  <cp:lastModifiedBy/>
  <dcterms:modified xsi:type="dcterms:W3CDTF">2026-05-15T18:53:55Z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