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Glide_Path" sheetId="3" state="visible" r:id="rId5"/>
    <sheet name="AUM_Buildup" sheetId="4" state="visible" r:id="rId6"/>
    <sheet name="Revenue" sheetId="5" state="visible" r:id="rId7"/>
    <sheet name="Operating_Costs" sheetId="6" state="visible" r:id="rId8"/>
    <sheet name="Income_Statement" sheetId="7" state="visible" r:id="rId9"/>
    <sheet name="Cash_Flow" sheetId="8" state="visible" r:id="rId10"/>
    <sheet name="Balance_Sheet" sheetId="9" state="visible" r:id="rId11"/>
    <sheet name="Returns" sheetId="10" state="visible" r:id="rId12"/>
    <sheet name="Checks" sheetId="11" state="visible" r:id="rId13"/>
    <sheet name="Disclaimer" sheetId="12" state="visible" r:id="rId14"/>
  </sheets>
  <definedNames>
    <definedName function="false" hidden="false" name="Admin_Cost_Bps" vbProcedure="false">Assumptions!$C$42</definedName>
    <definedName function="false" hidden="false" name="Admin_Fee_Bps" vbProcedure="false">Assumptions!$C$14</definedName>
    <definedName function="false" hidden="false" name="AUM_Average" vbProcedure="false">AUM_Buildup!$C$13:$AF$13</definedName>
    <definedName function="false" hidden="false" name="AUM_Closing" vbProcedure="false">AUM_Buildup!$C$12:$AF$12</definedName>
    <definedName function="false" hidden="false" name="AUM_Mkt_Ret" vbProcedure="false">AUM_Buildup!$C$9:$AF$9</definedName>
    <definedName function="false" hidden="false" name="AUM_Net_Flows" vbProcedure="false">AUM_Buildup!$C$8:$AF$8</definedName>
    <definedName function="false" hidden="false" name="AUM_Opening" vbProcedure="false">AUM_Buildup!$C$7:$AF$7</definedName>
    <definedName function="false" hidden="false" name="AUM_Rebal" vbProcedure="false">AUM_Buildup!$C$10:$AF$10</definedName>
    <definedName function="false" hidden="false" name="BS_Cash" vbProcedure="false">Balance_Sheet!$C$7:$AF$7</definedName>
    <definedName function="false" hidden="false" name="BS_Check" vbProcedure="false">Balance_Sheet!$C$23:$AF$23</definedName>
    <definedName function="false" hidden="false" name="BS_Payables" vbProcedure="false">Balance_Sheet!$C$14:$AF$14</definedName>
    <definedName function="false" hidden="false" name="BS_Receivables" vbProcedure="false">Balance_Sheet!$C$8:$AF$8</definedName>
    <definedName function="false" hidden="false" name="BS_Ret_Earnings" vbProcedure="false">Balance_Sheet!$C$19:$AF$19</definedName>
    <definedName function="false" hidden="false" name="BS_Revolver" vbProcedure="false">Balance_Sheet!$C$15:$AF$15</definedName>
    <definedName function="false" hidden="false" name="BS_Seed_Invest" vbProcedure="false">Balance_Sheet!$C$9:$AF$9</definedName>
    <definedName function="false" hidden="false" name="BS_Share_Cap" vbProcedure="false">Balance_Sheet!$C$18:$AF$18</definedName>
    <definedName function="false" hidden="false" name="BS_Total_Assets" vbProcedure="false">Balance_Sheet!$C$12:$AF$12</definedName>
    <definedName function="false" hidden="false" name="BS_Total_Equity" vbProcedure="false">Balance_Sheet!$C$20:$AF$20</definedName>
    <definedName function="false" hidden="false" name="BS_Total_LE" vbProcedure="false">Balance_Sheet!$C$22:$AF$22</definedName>
    <definedName function="false" hidden="false" name="BS_Total_Liab" vbProcedure="false">Balance_Sheet!$C$16:$AF$16</definedName>
    <definedName function="false" hidden="false" name="CF_CFF" vbProcedure="false">Cash_Flow!$C$19:$AF$19</definedName>
    <definedName function="false" hidden="false" name="CF_CFI" vbProcedure="false">Cash_Flow!$C$15:$AF$15</definedName>
    <definedName function="false" hidden="false" name="CF_CFO" vbProcedure="false">Cash_Flow!$C$11:$AF$11</definedName>
    <definedName function="false" hidden="false" name="CF_Closing" vbProcedure="false">Cash_Flow!$C$23:$AF$23</definedName>
    <definedName function="false" hidden="false" name="CF_Dividends" vbProcedure="false">Cash_Flow!$C$17:$AF$17</definedName>
    <definedName function="false" hidden="false" name="CF_Net" vbProcedure="false">Cash_Flow!$C$21:$AF$21</definedName>
    <definedName function="false" hidden="false" name="CF_Opening" vbProcedure="false">Cash_Flow!$C$22:$AF$22</definedName>
    <definedName function="false" hidden="false" name="Compliance_Cost" vbProcedure="false">Assumptions!$C$39</definedName>
    <definedName function="false" hidden="false" name="Cost_Inflation" vbProcedure="false">Assumptions!$C$43</definedName>
    <definedName function="false" hidden="false" name="Depr_Amount" vbProcedure="false">Assumptions!$C$51</definedName>
    <definedName function="false" hidden="false" name="Eq_At_Launch" vbProcedure="false">Assumptions!$C$32</definedName>
    <definedName function="false" hidden="false" name="Eq_At_Retire" vbProcedure="false">Assumptions!$C$33</definedName>
    <definedName function="false" hidden="false" name="Eq_Post_Retire" vbProcedure="false">Assumptions!$C$34</definedName>
    <definedName function="false" hidden="false" name="Flow_Decay" vbProcedure="false">Assumptions!$C$21</definedName>
    <definedName function="false" hidden="false" name="Flow_Growth" vbProcedure="false">Assumptions!$C$20</definedName>
    <definedName function="false" hidden="false" name="Glide_Type" vbProcedure="false">Assumptions!$C$9</definedName>
    <definedName function="false" hidden="false" name="GP_Cash" vbProcedure="false">Glide_Path!$C$12:$AF$12</definedName>
    <definedName function="false" hidden="false" name="GP_Dom_Eq" vbProcedure="false">Glide_Path!$C$8:$AF$8</definedName>
    <definedName function="false" hidden="false" name="GP_Fixed_Inc" vbProcedure="false">Glide_Path!$C$10:$AF$10</definedName>
    <definedName function="false" hidden="false" name="GP_Intl_Eq" vbProcedure="false">Glide_Path!$C$9:$AF$9</definedName>
    <definedName function="false" hidden="false" name="GP_TIPS" vbProcedure="false">Glide_Path!$C$11:$AF$11</definedName>
    <definedName function="false" hidden="false" name="GP_Years_To_Ret" vbProcedure="false">Glide_Path!$C$5:$AF$5</definedName>
    <definedName function="false" hidden="false" name="Initial_AUM" vbProcedure="false">Assumptions!$C$18</definedName>
    <definedName function="false" hidden="false" name="Interest_Rate" vbProcedure="false">Assumptions!$C$48</definedName>
    <definedName function="false" hidden="false" name="IS_Depr" vbProcedure="false">Income_Statement!$C$11:$AF$11</definedName>
    <definedName function="false" hidden="false" name="IS_EBIT" vbProcedure="false">Income_Statement!$C$12:$AF$12</definedName>
    <definedName function="false" hidden="false" name="IS_EBITDA" vbProcedure="false">Income_Statement!$C$10:$AF$10</definedName>
    <definedName function="false" hidden="false" name="IS_Interest" vbProcedure="false">Income_Statement!$C$13:$AF$13</definedName>
    <definedName function="false" hidden="false" name="IS_Net_Income" vbProcedure="false">Income_Statement!$C$17:$AF$17</definedName>
    <definedName function="false" hidden="false" name="IS_Net_Revenue" vbProcedure="false">Income_Statement!$C$7:$AF$7</definedName>
    <definedName function="false" hidden="false" name="IS_Tax" vbProcedure="false">Income_Statement!$C$15:$AF$15</definedName>
    <definedName function="false" hidden="false" name="Launch_Year" vbProcedure="false">Assumptions!$C$7</definedName>
    <definedName function="false" hidden="false" name="Mgmt_Fee_Bps" vbProcedure="false">Assumptions!$C$12</definedName>
    <definedName function="false" hidden="false" name="Mktg_Bps" vbProcedure="false">Assumptions!$C$41</definedName>
    <definedName function="false" hidden="false" name="Net_New_Flows" vbProcedure="false">Assumptions!$C$19</definedName>
    <definedName function="false" hidden="false" name="OC_Total" vbProcedure="false">Operating_Costs!$C$14:$AF$14</definedName>
    <definedName function="false" hidden="false" name="Ops_Cost" vbProcedure="false">Assumptions!$C$38</definedName>
    <definedName function="false" hidden="false" name="Payout_Ratio" vbProcedure="false">Assumptions!$C$49</definedName>
    <definedName function="false" hidden="false" name="PM_Team_Cost" vbProcedure="false">Assumptions!$C$37</definedName>
    <definedName function="false" hidden="false" name="Projection_Years" vbProcedure="false">Assumptions!$C$8</definedName>
    <definedName function="false" hidden="false" name="Rebal_Cost_Bps" vbProcedure="false">Assumptions!$C$22</definedName>
    <definedName function="false" hidden="false" name="Ret_Cash" vbProcedure="false">Assumptions!$C$29</definedName>
    <definedName function="false" hidden="false" name="Ret_Dom_Eq" vbProcedure="false">Assumptions!$C$25</definedName>
    <definedName function="false" hidden="false" name="Ret_Fixed_Inc" vbProcedure="false">Assumptions!$C$27</definedName>
    <definedName function="false" hidden="false" name="Ret_Intl_Eq" vbProcedure="false">Assumptions!$C$26</definedName>
    <definedName function="false" hidden="false" name="Ret_TIPS" vbProcedure="false">Assumptions!$C$28</definedName>
    <definedName function="false" hidden="false" name="Revolver_Size" vbProcedure="false">Assumptions!$C$47</definedName>
    <definedName function="false" hidden="false" name="Rev_Mgmt_Fee" vbProcedure="false">Revenue!$C$7:$AF$7</definedName>
    <definedName function="false" hidden="false" name="Rev_Total" vbProcedure="false">Revenue!$C$12:$AF$12</definedName>
    <definedName function="false" hidden="false" name="Sec_Lending_Bps" vbProcedure="false">Assumptions!$C$15</definedName>
    <definedName function="false" hidden="false" name="Seed_Capital" vbProcedure="false">Assumptions!$C$46</definedName>
    <definedName function="false" hidden="false" name="Target_Year" vbProcedure="false">Assumptions!$C$6</definedName>
    <definedName function="false" hidden="false" name="Tax_Rate" vbProcedure="false">Assumptions!$C$50</definedName>
    <definedName function="false" hidden="false" name="Tech_Cost" vbProcedure="false">Assumptions!$C$40</definedName>
    <definedName function="false" hidden="false" name="Underlying_Cost" vbProcedure="false">Assumptions!$C$13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<sst xmlns="http://schemas.openxmlformats.org/spreadsheetml/2006/main" count="274" uniqueCount="228">
  <si>
    <t xml:space="preserve">Target-Date Fund</t>
  </si>
  <si>
    <t xml:space="preserve">FINAMODEL.com</t>
  </si>
  <si>
    <t xml:space="preserve">Financial Model</t>
  </si>
  <si>
    <t xml:space="preserve">Model Overview</t>
  </si>
  <si>
    <t xml:space="preserve">30-year projection of a target-date retirement fund including</t>
  </si>
  <si>
    <t xml:space="preserve">glide-path mechanics, AUM buildup, fee economics, and manager returns.</t>
  </si>
  <si>
    <t xml:space="preserve">Sheet Guide</t>
  </si>
  <si>
    <t xml:space="preserve">Assumptions</t>
  </si>
  <si>
    <t xml:space="preserve">All model inputs</t>
  </si>
  <si>
    <t xml:space="preserve">Glide_Path</t>
  </si>
  <si>
    <t xml:space="preserve">Year-by-year asset allocation schedule</t>
  </si>
  <si>
    <t xml:space="preserve">AUM_Buildup</t>
  </si>
  <si>
    <t xml:space="preserve">AUM projections by period</t>
  </si>
  <si>
    <t xml:space="preserve">Revenue</t>
  </si>
  <si>
    <t xml:space="preserve">Fee revenue schedule</t>
  </si>
  <si>
    <t xml:space="preserve">Operating_Costs</t>
  </si>
  <si>
    <t xml:space="preserve">Manager operating expenses</t>
  </si>
  <si>
    <t xml:space="preserve">Income_Statement</t>
  </si>
  <si>
    <t xml:space="preserve">Summary P&amp;L</t>
  </si>
  <si>
    <t xml:space="preserve">Cash_Flow</t>
  </si>
  <si>
    <t xml:space="preserve">Cash flow statement</t>
  </si>
  <si>
    <t xml:space="preserve">Balance_Sheet</t>
  </si>
  <si>
    <t xml:space="preserve">Manager balance sheet</t>
  </si>
  <si>
    <t xml:space="preserve">Returns</t>
  </si>
  <si>
    <t xml:space="preserve">Fund and manager return metrics</t>
  </si>
  <si>
    <t xml:space="preserve">Checks</t>
  </si>
  <si>
    <t xml:space="preserve">Validation checks</t>
  </si>
  <si>
    <t xml:space="preserve">About this model</t>
  </si>
  <si>
    <t xml:space="preserve">Model a target-date fund family with customizable asset allocation glide paths, rebalancing mechanics, and fee impact across multiple vintage years (2030, 2040, 2050, etc.). Each cohort tracks its own allocation curve from growth-oriented (85%+ equities) at launch to conservative (30â50% equities) at the target retirement date. Rebalancing occurs annually with transaction costs; flows into and out of each vintage are tracked separately.
The model projects AUM buildup for each vintage over 30 years, applies market returns by asset class, and calculates management fee revenue net of underlying fund costs. The Glide_Path sheet ensures allocations sum to 100% each year; the AUM_Buildup sheet applies weighted returns and flow decay as participants retire. The Returns sheet measures gross fund returns, net-of-fee returns, and manager revenue per $1 of AUM.
Margin structure shows how TDF managers achieve scale: at sub-$1B AUM, EBITDA margins are negative; at $5B+, margins reach 35â45%. Breakeven AUM and return on seed capital are calculated explicitly. Competition from passive low-cost providers is modeled via fee compression (industry average 30 bps, down from 70 bps a decade ago).</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</si>
  <si>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</si>
  <si>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</si>
  <si>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</si>
  <si>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</si>
  <si>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Key model parameters</t>
  </si>
  <si>
    <t xml:space="preserve">Fund Parameters</t>
  </si>
  <si>
    <t xml:space="preserve">Target Retirement Year</t>
  </si>
  <si>
    <t xml:space="preserve">Year</t>
  </si>
  <si>
    <t xml:space="preserve">Fund vintage target</t>
  </si>
  <si>
    <t xml:space="preserve">Fund Launch Year</t>
  </si>
  <si>
    <t xml:space="preserve">Model start</t>
  </si>
  <si>
    <t xml:space="preserve">Projection Years</t>
  </si>
  <si>
    <t xml:space="preserve">Years</t>
  </si>
  <si>
    <t xml:space="preserve">Full lifecycle</t>
  </si>
  <si>
    <t xml:space="preserve">Glide Path Type</t>
  </si>
  <si>
    <t xml:space="preserve">1=To, 2=Through</t>
  </si>
  <si>
    <t xml:space="preserve">Fee Assumptions</t>
  </si>
  <si>
    <t xml:space="preserve">Management Fee</t>
  </si>
  <si>
    <t xml:space="preserve">bps</t>
  </si>
  <si>
    <t xml:space="preserve">Blended rate</t>
  </si>
  <si>
    <t xml:space="preserve">Underlying Fund Cost</t>
  </si>
  <si>
    <t xml:space="preserve">Pass-through</t>
  </si>
  <si>
    <t xml:space="preserve">Admin/Fund Accounting</t>
  </si>
  <si>
    <t xml:space="preserve">Outsourced</t>
  </si>
  <si>
    <t xml:space="preserve">Securities Lending</t>
  </si>
  <si>
    <t xml:space="preserve">Minor income</t>
  </si>
  <si>
    <t xml:space="preserve">AUM Drivers</t>
  </si>
  <si>
    <t xml:space="preserve">Initial AUM (Seed)</t>
  </si>
  <si>
    <t xml:space="preserve">$M</t>
  </si>
  <si>
    <t xml:space="preserve">Day 1 seed capital</t>
  </si>
  <si>
    <t xml:space="preserve">Year 1 Net Flows</t>
  </si>
  <si>
    <t xml:space="preserve">401k contributions</t>
  </si>
  <si>
    <t xml:space="preserve">Flow Growth Rate</t>
  </si>
  <si>
    <t xml:space="preserve">Annual escalation</t>
  </si>
  <si>
    <t xml:space="preserve">Post-Retire Decay</t>
  </si>
  <si>
    <t xml:space="preserve">Annual flow reduction</t>
  </si>
  <si>
    <t xml:space="preserve">Rebalancing Cost</t>
  </si>
  <si>
    <t xml:space="preserve">Annual drag</t>
  </si>
  <si>
    <t xml:space="preserve">Asset Class Returns (nominal)</t>
  </si>
  <si>
    <t xml:space="preserve">Domestic Equity</t>
  </si>
  <si>
    <t xml:space="preserve">Long-term avg</t>
  </si>
  <si>
    <t xml:space="preserve">International Equity</t>
  </si>
  <si>
    <t xml:space="preserve">Fixed Income</t>
  </si>
  <si>
    <t xml:space="preserve">IG bonds</t>
  </si>
  <si>
    <t xml:space="preserve">TIPS/Inflation-Linked</t>
  </si>
  <si>
    <t xml:space="preserve">Real + breakeven</t>
  </si>
  <si>
    <t xml:space="preserve">Cash/Short-Term</t>
  </si>
  <si>
    <t xml:space="preserve">Money market</t>
  </si>
  <si>
    <t xml:space="preserve">Glide Path Allocation</t>
  </si>
  <si>
    <t xml:space="preserve">Equity at Launch</t>
  </si>
  <si>
    <t xml:space="preserve">85-95% typical</t>
  </si>
  <si>
    <t xml:space="preserve">Equity at Retirement</t>
  </si>
  <si>
    <t xml:space="preserve">30-50% typical</t>
  </si>
  <si>
    <t xml:space="preserve">Equity 10yr Post-Retire</t>
  </si>
  <si>
    <t xml:space="preserve">20-35% typical</t>
  </si>
  <si>
    <t xml:space="preserve">Operating Cost Assumptions</t>
  </si>
  <si>
    <t xml:space="preserve">PM Team Cost</t>
  </si>
  <si>
    <t xml:space="preserve">$M/yr</t>
  </si>
  <si>
    <t xml:space="preserve">3-5 portfolio managers</t>
  </si>
  <si>
    <t xml:space="preserve">Operations Cost</t>
  </si>
  <si>
    <t xml:space="preserve">Middle office</t>
  </si>
  <si>
    <t xml:space="preserve">Compliance &amp; Legal</t>
  </si>
  <si>
    <t xml:space="preserve">Regulatory</t>
  </si>
  <si>
    <t xml:space="preserve">Technology &amp; Systems</t>
  </si>
  <si>
    <t xml:space="preserve">Platforms</t>
  </si>
  <si>
    <t xml:space="preserve">Marketing</t>
  </si>
  <si>
    <t xml:space="preserve">% of AUM</t>
  </si>
  <si>
    <t xml:space="preserve">Admin Expense</t>
  </si>
  <si>
    <t xml:space="preserve">Cost Inflation</t>
  </si>
  <si>
    <t xml:space="preserve">Capital &amp; Returns</t>
  </si>
  <si>
    <t xml:space="preserve">Seed Capital</t>
  </si>
  <si>
    <t xml:space="preserve">Initial investment</t>
  </si>
  <si>
    <t xml:space="preserve">Revolver Facility</t>
  </si>
  <si>
    <t xml:space="preserve">Working capital line</t>
  </si>
  <si>
    <t xml:space="preserve">Interest Rate</t>
  </si>
  <si>
    <t xml:space="preserve">SOFR + spread</t>
  </si>
  <si>
    <t xml:space="preserve">Dividend Payout Ratio</t>
  </si>
  <si>
    <t xml:space="preserve">Of net income</t>
  </si>
  <si>
    <t xml:space="preserve">Corporate Tax Rate</t>
  </si>
  <si>
    <t xml:space="preserve">Effective rate</t>
  </si>
  <si>
    <t xml:space="preserve">Depreciation</t>
  </si>
  <si>
    <t xml:space="preserve">Technology amort</t>
  </si>
  <si>
    <t xml:space="preserve">Glide Path</t>
  </si>
  <si>
    <t xml:space="preserve">Asset Allocation Schedule</t>
  </si>
  <si>
    <t xml:space="preserve">Years to Retirement</t>
  </si>
  <si>
    <t xml:space="preserve">Total Equity %</t>
  </si>
  <si>
    <t xml:space="preserve">Asset Allocation</t>
  </si>
  <si>
    <t xml:space="preserve">TIPS</t>
  </si>
  <si>
    <t xml:space="preserve">Cash</t>
  </si>
  <si>
    <t xml:space="preserve">Validation</t>
  </si>
  <si>
    <t xml:space="preserve">Allocation Sum</t>
  </si>
  <si>
    <t xml:space="preserve">AUM Buildup</t>
  </si>
  <si>
    <t xml:space="preserve">Assets Under Management</t>
  </si>
  <si>
    <t xml:space="preserve">AUM Walk ($M)</t>
  </si>
  <si>
    <t xml:space="preserve">Opening AUM</t>
  </si>
  <si>
    <t xml:space="preserve">Net New Flows</t>
  </si>
  <si>
    <t xml:space="preserve">Market Return</t>
  </si>
  <si>
    <t xml:space="preserve">Rebalancing Drag</t>
  </si>
  <si>
    <t xml:space="preserve">CLOSING AUM</t>
  </si>
  <si>
    <t xml:space="preserve">Average AUM</t>
  </si>
  <si>
    <t xml:space="preserve">AUM by Asset Class ($M)</t>
  </si>
  <si>
    <t xml:space="preserve">Flow Decay Factor</t>
  </si>
  <si>
    <t xml:space="preserve">Fee Income Schedule</t>
  </si>
  <si>
    <t xml:space="preserve">Fee Revenue ($M)</t>
  </si>
  <si>
    <t xml:space="preserve">Management Fees</t>
  </si>
  <si>
    <t xml:space="preserve">Underlying Fund Costs</t>
  </si>
  <si>
    <t xml:space="preserve">Net Management Fees</t>
  </si>
  <si>
    <t xml:space="preserve">TOTAL NET REVENUE</t>
  </si>
  <si>
    <t xml:space="preserve">Operating Costs</t>
  </si>
  <si>
    <t xml:space="preserve">Manager Expenses</t>
  </si>
  <si>
    <t xml:space="preserve">Operating Expenses ($M)</t>
  </si>
  <si>
    <t xml:space="preserve">PM Team</t>
  </si>
  <si>
    <t xml:space="preserve">Operations</t>
  </si>
  <si>
    <t xml:space="preserve">Technology</t>
  </si>
  <si>
    <t xml:space="preserve">Administration</t>
  </si>
  <si>
    <t xml:space="preserve">TOTAL OPERATING COSTS</t>
  </si>
  <si>
    <t xml:space="preserve">Income Statement</t>
  </si>
  <si>
    <t xml:space="preserve">Income Statement ($M)</t>
  </si>
  <si>
    <t xml:space="preserve">Total Net Revenue</t>
  </si>
  <si>
    <t xml:space="preserve">Total Operating Costs</t>
  </si>
  <si>
    <t xml:space="preserve">EBITDA</t>
  </si>
  <si>
    <t xml:space="preserve">EBIT</t>
  </si>
  <si>
    <t xml:space="preserve">Interest Expense</t>
  </si>
  <si>
    <t xml:space="preserve">EBT</t>
  </si>
  <si>
    <t xml:space="preserve">Tax</t>
  </si>
  <si>
    <t xml:space="preserve">NET INCOME</t>
  </si>
  <si>
    <t xml:space="preserve">Cash Flow</t>
  </si>
  <si>
    <t xml:space="preserve">Statement of Cash Flows</t>
  </si>
  <si>
    <t xml:space="preserve">Cash From Operations ($M)</t>
  </si>
  <si>
    <t xml:space="preserve">Net Income</t>
  </si>
  <si>
    <t xml:space="preserve">Change in WC</t>
  </si>
  <si>
    <t xml:space="preserve">Cash From Operations</t>
  </si>
  <si>
    <t xml:space="preserve">Cash From Investing ($M)</t>
  </si>
  <si>
    <t xml:space="preserve">Capital Expenditure</t>
  </si>
  <si>
    <t xml:space="preserve">Seed Capital Investment</t>
  </si>
  <si>
    <t xml:space="preserve">Cash From Investing</t>
  </si>
  <si>
    <t xml:space="preserve">Cash From Financing ($M)</t>
  </si>
  <si>
    <t xml:space="preserve">Dividends Paid</t>
  </si>
  <si>
    <t xml:space="preserve">Debt Drawdown/(Repayment)</t>
  </si>
  <si>
    <t xml:space="preserve">Cash From Financing</t>
  </si>
  <si>
    <t xml:space="preserve">Cash Balance ($M)</t>
  </si>
  <si>
    <t xml:space="preserve">Net Cash Flow</t>
  </si>
  <si>
    <t xml:space="preserve">Opening Cash</t>
  </si>
  <si>
    <t xml:space="preserve">Closing Cash</t>
  </si>
  <si>
    <t xml:space="preserve">Receivables (helper)</t>
  </si>
  <si>
    <t xml:space="preserve">Balance Sheet</t>
  </si>
  <si>
    <t xml:space="preserve">Manager Balance Sheet</t>
  </si>
  <si>
    <t xml:space="preserve">Assets ($M)</t>
  </si>
  <si>
    <t xml:space="preserve">Fee Receivables</t>
  </si>
  <si>
    <t xml:space="preserve">PP&amp;E (Net)</t>
  </si>
  <si>
    <t xml:space="preserve">TOTAL ASSETS</t>
  </si>
  <si>
    <t xml:space="preserve">Liabilities ($M)</t>
  </si>
  <si>
    <t xml:space="preserve">Accounts Payable</t>
  </si>
  <si>
    <t xml:space="preserve">Revolver Balance</t>
  </si>
  <si>
    <t xml:space="preserve">Total Liabilities</t>
  </si>
  <si>
    <t xml:space="preserve">Equity ($M)</t>
  </si>
  <si>
    <t xml:space="preserve">Share Capital</t>
  </si>
  <si>
    <t xml:space="preserve">Retained Earnings</t>
  </si>
  <si>
    <t xml:space="preserve">Total Equity</t>
  </si>
  <si>
    <t xml:space="preserve">TOTAL LIABILITIES &amp; EQUITY</t>
  </si>
  <si>
    <t xml:space="preserve">Balance Check</t>
  </si>
  <si>
    <t xml:space="preserve">Fund &amp; Manager Metrics</t>
  </si>
  <si>
    <t xml:space="preserve">Fund Returns</t>
  </si>
  <si>
    <t xml:space="preserve">Gross Fund Return</t>
  </si>
  <si>
    <t xml:space="preserve">Total Expense Ratio</t>
  </si>
  <si>
    <t xml:space="preserve">Net Fund Return</t>
  </si>
  <si>
    <t xml:space="preserve">Cumulative $1 Value</t>
  </si>
  <si>
    <t xml:space="preserve">Manager Profitability</t>
  </si>
  <si>
    <t xml:space="preserve">EBITDA Margin</t>
  </si>
  <si>
    <t xml:space="preserve">Net Margin</t>
  </si>
  <si>
    <t xml:space="preserve">Return on Equity</t>
  </si>
  <si>
    <t xml:space="preserve">Model Validation</t>
  </si>
  <si>
    <t xml:space="preserve">Validation Checks</t>
  </si>
  <si>
    <t xml:space="preserve">GP Allocation = 100%</t>
  </si>
  <si>
    <t xml:space="preserve">AUM Walk Reconciles</t>
  </si>
  <si>
    <t xml:space="preserve">BS Balances</t>
  </si>
  <si>
    <t xml:space="preserve">Revenue = AUM x Fee</t>
  </si>
  <si>
    <t xml:space="preserve">Cash &gt;= 0</t>
  </si>
  <si>
    <t xml:space="preserve">EBITDA Margin Range</t>
  </si>
  <si>
    <t xml:space="preserve">Net &lt; Gross Return</t>
  </si>
  <si>
    <t xml:space="preserve">RE Rollforward</t>
  </si>
  <si>
    <t xml:space="preserve">Prior RE (helper)</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</si>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</sst>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6">
    <numFmt numFmtId="164" formatCode="General"/>
    <numFmt numFmtId="165" formatCode="#,##0.00"/>
    <numFmt numFmtId="166" formatCode="#,##0.0"/>
    <numFmt numFmtId="167" formatCode="0.00%"/>
    <numFmt numFmtId="168" formatCode="0"/>
    <numFmt numFmtId="169" formatCode="\$#,##0.00"/>
  </numFmts>
  <fonts count="31">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24"/>
      <color theme="0"/>
      <name val="Arial"/>
      <family val="0"/>
      <charset val="1"/>
    </font>
    <font>
      <b val="true"/>
      <u val="single"/>
      <sz val="11"/>
      <color theme="0"/>
      <name val="Arial"/>
      <family val="0"/>
      <charset val="1"/>
    </font>
    <font>
      <sz val="18"/>
      <color theme="0"/>
      <name val="Arial"/>
      <family val="0"/>
      <charset val="1"/>
    </font>
    <font>
      <sz val="11"/>
      <color theme="1"/>
      <name val="Arial"/>
      <family val="0"/>
      <charset val="1"/>
    </font>
    <font>
      <b val="true"/>
      <sz val="11"/>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8"/>
      <color theme="0"/>
      <name val="Arial"/>
      <family val="0"/>
      <charset val="1"/>
    </font>
    <font>
      <i val="true"/>
      <sz val="11"/>
      <color theme="0"/>
      <name val="Arial"/>
      <family val="0"/>
      <charset val="1"/>
    </font>
    <font>
      <b val="true"/>
      <sz val="11"/>
      <color theme="3"/>
      <name val="Arial"/>
      <family val="0"/>
      <charset val="1"/>
    </font>
    <font>
      <sz val="11"/>
      <color theme="3"/>
      <name val="Arial"/>
      <family val="0"/>
      <charset val="1"/>
    </font>
    <font>
      <i val="true"/>
      <sz val="11"/>
      <color rgb="FF808080"/>
      <name val="Arial"/>
      <family val="0"/>
      <charset val="1"/>
    </font>
    <font>
      <b val="true"/>
      <sz val="11"/>
      <color theme="0"/>
      <name val="Arial"/>
      <family val="0"/>
      <charset val="1"/>
    </font>
    <font>
      <sz val="11"/>
      <color rgb="FF000000"/>
      <name val="Arial"/>
      <family val="0"/>
      <charset val="1"/>
    </font>
    <font>
      <b val="true"/>
      <sz val="11"/>
      <color rgb="FF000000"/>
      <name val="Arial"/>
      <family val="0"/>
      <charset val="1"/>
    </font>
    <font>
      <b val="true"/>
      <sz val="11"/>
      <color rgb="FFFF000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13">
    <fill>
      <patternFill patternType="none"/>
    </fill>
    <fill>
      <patternFill patternType="gray125"/>
    </fill>
    <fill>
      <patternFill patternType="solid">
        <fgColor theme="3"/>
        <bgColor rgb="FF1F4E79"/>
      </patternFill>
    </fill>
    <fill>
      <patternFill patternType="solid">
        <fgColor rgb="FF5B9BD5"/>
        <bgColor rgb="FF808080"/>
      </patternFill>
    </fill>
    <fill>
      <patternFill patternType="solid">
        <fgColor rgb="FF70AD47"/>
        <bgColor rgb="FF99CC00"/>
      </patternFill>
    </fill>
    <fill>
      <patternFill patternType="solid">
        <fgColor rgb="FFED7D31"/>
        <bgColor rgb="FFFF8080"/>
      </patternFill>
    </fill>
    <fill>
      <patternFill patternType="solid">
        <fgColor rgb="FFA5A5A5"/>
        <bgColor rgb="FFC0C0C0"/>
      </patternFill>
    </fill>
    <fill>
      <patternFill patternType="solid">
        <fgColor rgb="FFFF0000"/>
        <bgColor rgb="FF993300"/>
      </patternFill>
    </fill>
    <fill>
      <patternFill patternType="solid">
        <fgColor rgb="FFD6E4F0"/>
        <bgColor rgb="FFC6D9F1"/>
      </patternFill>
    </fill>
    <fill>
      <patternFill patternType="solid">
        <fgColor theme="3" tint="0.8"/>
        <bgColor rgb="FFD6E4F0"/>
      </patternFill>
    </fill>
    <fill>
      <patternFill patternType="solid">
        <fgColor rgb="FFE8F0FE"/>
        <bgColor rgb="FFF2F2F2"/>
      </patternFill>
    </fill>
    <fill>
      <patternFill patternType="solid">
        <fgColor rgb="FF1F4E79"/>
        <bgColor rgb="FF1F497D"/>
      </patternFill>
    </fill>
    <fill>
      <patternFill patternType="solid">
        <fgColor rgb="FFF2F2F2"/>
        <bgColor rgb="FFE8F0FE"/>
      </patternFill>
    </fill>
  </fills>
  <borders count="4">
    <border diagonalUp="false" diagonalDown="false">
      <left/>
      <right/>
      <top/>
      <bottom/>
      <diagonal/>
    </border>
    <border diagonalUp="false" diagonalDown="false">
      <left/>
      <right/>
      <top style="double"/>
      <bottom/>
      <diagonal/>
    </border>
    <border diagonalUp="false" diagonalDown="false">
      <left/>
      <right/>
      <top style="thin"/>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9" fillId="3" borderId="0" xfId="0" applyFont="true" applyBorder="false" applyAlignment="false" applyProtection="false">
      <alignment horizontal="general" vertical="bottom" textRotation="0" wrapText="false" indent="0" shrinkToFit="false"/>
      <protection locked="true" hidden="false"/>
    </xf>
    <xf numFmtId="164" fontId="9" fillId="4"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9" fillId="6" borderId="0" xfId="0" applyFont="true" applyBorder="false" applyAlignment="false" applyProtection="false">
      <alignment horizontal="general" vertical="bottom" textRotation="0" wrapText="false" indent="0" shrinkToFit="false"/>
      <protection locked="true" hidden="false"/>
    </xf>
    <xf numFmtId="164" fontId="9" fillId="7" borderId="0" xfId="0" applyFont="true" applyBorder="false" applyAlignment="false" applyProtection="false">
      <alignment horizontal="general" vertical="bottom" textRotation="0" wrapText="false" indent="0" shrinkToFit="false"/>
      <protection locked="true" hidden="false"/>
    </xf>
    <xf numFmtId="164" fontId="11" fillId="8" borderId="0" xfId="0" applyFont="true" applyBorder="false" applyAlignment="true" applyProtection="false">
      <alignment horizontal="left" vertical="center" textRotation="0" wrapText="false" indent="0" shrinkToFit="false"/>
      <protection locked="true" hidden="false"/>
    </xf>
    <xf numFmtId="164" fontId="12" fillId="8"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top" textRotation="0" wrapText="tru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6" fillId="2" borderId="0" xfId="0" applyFont="true" applyBorder="false" applyAlignment="true" applyProtection="false">
      <alignment horizontal="left" vertical="bottom" textRotation="0" wrapText="false" indent="0" shrinkToFit="false"/>
      <protection locked="true" hidden="false"/>
    </xf>
    <xf numFmtId="164" fontId="17" fillId="2" borderId="0" xfId="0" applyFont="true" applyBorder="false" applyAlignment="true" applyProtection="false">
      <alignment horizontal="left" vertical="bottom" textRotation="0" wrapText="false" indent="0" shrinkToFit="false"/>
      <protection locked="true" hidden="false"/>
    </xf>
    <xf numFmtId="164" fontId="18" fillId="9" borderId="0" xfId="0" applyFont="true" applyBorder="false" applyAlignment="true" applyProtection="false">
      <alignment horizontal="left" vertical="bottom" textRotation="0" wrapText="false" indent="0" shrinkToFit="false"/>
      <protection locked="true" hidden="false"/>
    </xf>
    <xf numFmtId="164" fontId="9" fillId="9" borderId="0" xfId="0" applyFont="true" applyBorder="false" applyAlignment="false" applyProtection="false">
      <alignment horizontal="general" vertical="bottom" textRotation="0" wrapText="false" indent="0" shrinkToFit="false"/>
      <protection locked="true" hidden="false"/>
    </xf>
    <xf numFmtId="165" fontId="19" fillId="10" borderId="0" xfId="0" applyFont="true" applyBorder="false" applyAlignment="true" applyProtection="false">
      <alignment horizontal="right" vertical="bottom" textRotation="0" wrapText="false" indent="0" shrinkToFit="false"/>
      <protection locked="true" hidden="false"/>
    </xf>
    <xf numFmtId="164" fontId="20" fillId="0" borderId="0" xfId="0" applyFont="true" applyBorder="false" applyAlignment="true" applyProtection="false">
      <alignment horizontal="left" vertical="bottom" textRotation="0" wrapText="false" indent="0" shrinkToFit="false"/>
      <protection locked="true" hidden="false"/>
    </xf>
    <xf numFmtId="166" fontId="19" fillId="10" borderId="0" xfId="0" applyFont="true" applyBorder="false" applyAlignment="true" applyProtection="false">
      <alignment horizontal="right" vertical="bottom" textRotation="0" wrapText="false" indent="0" shrinkToFit="false"/>
      <protection locked="true" hidden="false"/>
    </xf>
    <xf numFmtId="167" fontId="19" fillId="1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false" applyProtection="false">
      <alignment horizontal="general" vertical="bottom" textRotation="0" wrapText="false" indent="0" shrinkToFit="false"/>
      <protection locked="true" hidden="false"/>
    </xf>
    <xf numFmtId="168" fontId="21" fillId="2" borderId="0" xfId="0" applyFont="true" applyBorder="false" applyAlignment="true" applyProtection="false">
      <alignment horizontal="center" vertical="bottom" textRotation="0" wrapText="false" indent="0" shrinkToFit="false"/>
      <protection locked="true" hidden="false"/>
    </xf>
    <xf numFmtId="165" fontId="22" fillId="0" borderId="0" xfId="0" applyFont="true" applyBorder="false" applyAlignment="true" applyProtection="false">
      <alignment horizontal="right" vertical="bottom" textRotation="0" wrapText="false" indent="0" shrinkToFit="false"/>
      <protection locked="true" hidden="false"/>
    </xf>
    <xf numFmtId="167" fontId="20" fillId="0" borderId="0" xfId="0" applyFont="true" applyBorder="false" applyAlignment="true" applyProtection="false">
      <alignment horizontal="right" vertical="bottom" textRotation="0" wrapText="false" indent="0" shrinkToFit="false"/>
      <protection locked="true" hidden="false"/>
    </xf>
    <xf numFmtId="167" fontId="22" fillId="0" borderId="0" xfId="0" applyFont="true" applyBorder="false" applyAlignment="true" applyProtection="false">
      <alignment horizontal="right" vertical="bottom" textRotation="0" wrapText="false" indent="0" shrinkToFit="false"/>
      <protection locked="true" hidden="false"/>
    </xf>
    <xf numFmtId="167" fontId="10" fillId="0" borderId="0" xfId="0" applyFont="true" applyBorder="false" applyAlignment="true" applyProtection="false">
      <alignment horizontal="right" vertical="bottom" textRotation="0" wrapText="false" indent="0" shrinkToFit="false"/>
      <protection locked="true" hidden="false"/>
    </xf>
    <xf numFmtId="166" fontId="22" fillId="0" borderId="0" xfId="0" applyFont="true" applyBorder="false" applyAlignment="true" applyProtection="false">
      <alignment horizontal="right" vertical="bottom" textRotation="0" wrapText="false" indent="0" shrinkToFit="false"/>
      <protection locked="true" hidden="false"/>
    </xf>
    <xf numFmtId="164" fontId="23" fillId="0" borderId="1" xfId="0" applyFont="true" applyBorder="true" applyAlignment="true" applyProtection="false">
      <alignment horizontal="left" vertical="bottom" textRotation="0" wrapText="false" indent="0" shrinkToFit="false"/>
      <protection locked="true" hidden="false"/>
    </xf>
    <xf numFmtId="166" fontId="23" fillId="0" borderId="1" xfId="0" applyFont="tru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1" shrinkToFit="false"/>
      <protection locked="true" hidden="false"/>
    </xf>
    <xf numFmtId="164" fontId="10" fillId="0" borderId="2" xfId="0" applyFont="true" applyBorder="true" applyAlignment="true" applyProtection="false">
      <alignment horizontal="left" vertical="bottom" textRotation="0" wrapText="false" indent="0" shrinkToFit="false"/>
      <protection locked="true" hidden="false"/>
    </xf>
    <xf numFmtId="166" fontId="10" fillId="0" borderId="2" xfId="0" applyFont="true" applyBorder="true" applyAlignment="true" applyProtection="false">
      <alignment horizontal="right" vertical="bottom" textRotation="0" wrapText="false" indent="0" shrinkToFit="false"/>
      <protection locked="true" hidden="false"/>
    </xf>
    <xf numFmtId="166" fontId="10" fillId="0" borderId="0" xfId="0" applyFont="true" applyBorder="false" applyAlignment="true" applyProtection="false">
      <alignment horizontal="right"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6" fontId="20" fillId="0" borderId="0" xfId="0" applyFont="true" applyBorder="false" applyAlignment="true" applyProtection="false">
      <alignment horizontal="right" vertical="bottom" textRotation="0" wrapText="false" indent="0" shrinkToFit="false"/>
      <protection locked="true" hidden="false"/>
    </xf>
    <xf numFmtId="166" fontId="24" fillId="0" borderId="0" xfId="0" applyFont="true" applyBorder="false" applyAlignment="true" applyProtection="false">
      <alignment horizontal="right" vertical="bottom" textRotation="0" wrapText="false" indent="0" shrinkToFit="false"/>
      <protection locked="true" hidden="false"/>
    </xf>
    <xf numFmtId="167" fontId="10" fillId="0" borderId="2" xfId="0" applyFont="true" applyBorder="true" applyAlignment="true" applyProtection="false">
      <alignment horizontal="right" vertical="bottom" textRotation="0" wrapText="false" indent="0" shrinkToFit="false"/>
      <protection locked="true" hidden="false"/>
    </xf>
    <xf numFmtId="169" fontId="22"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false" applyAlignment="true" applyProtection="false">
      <alignment horizontal="right" vertical="bottom" textRotation="0" wrapText="false" indent="0" shrinkToFit="false"/>
      <protection locked="true" hidden="false"/>
    </xf>
    <xf numFmtId="166" fontId="20" fillId="0"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12" fillId="0" borderId="3" xfId="0" applyFont="true" applyBorder="true" applyAlignment="false" applyProtection="false">
      <alignment horizontal="general" vertical="bottom" textRotation="0" wrapText="false" indent="0" shrinkToFit="false"/>
      <protection locked="true" hidden="false"/>
    </xf>
    <xf numFmtId="164" fontId="26" fillId="11" borderId="0" xfId="0" applyFont="true" applyBorder="false" applyAlignment="true" applyProtection="false">
      <alignment horizontal="left" vertical="center" textRotation="0" wrapText="false" indent="1" shrinkToFit="false"/>
      <protection locked="true" hidden="false"/>
    </xf>
    <xf numFmtId="164" fontId="27" fillId="0" borderId="0" xfId="0" applyFont="true" applyBorder="false" applyAlignment="true" applyProtection="false">
      <alignment horizontal="left" vertical="top" textRotation="0" wrapText="true" indent="1" shrinkToFit="false"/>
      <protection locked="true" hidden="false"/>
    </xf>
    <xf numFmtId="164" fontId="28"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29" fillId="12" borderId="0" xfId="0" applyFont="true" applyBorder="false" applyAlignment="true" applyProtection="false">
      <alignment horizontal="left" vertical="top" textRotation="0" wrapText="true" indent="1" shrinkToFit="false"/>
      <protection locked="true" hidden="false"/>
    </xf>
    <xf numFmtId="164" fontId="30"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E8F0FE"/>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6E4F0"/>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8"/>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5"/>
    <col collapsed="false" customWidth="true" hidden="false" outlineLevel="0" max="3" min="3" style="0" width="45"/>
    <col collapsed="false" customWidth="true" hidden="false" outlineLevel="0" max="4" min="4" style="0" width="5"/>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22.05" hidden="false" customHeight="false" outlineLevel="0" collapsed="false">
      <c r="A3" s="1"/>
      <c r="B3" s="5" t="s">
        <v>2</v>
      </c>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row>
    <row r="5" customFormat="false" ht="15" hidden="false" customHeight="false" outlineLevel="0" collapsed="false">
      <c r="A5" s="6"/>
      <c r="B5" s="7" t="s">
        <v>3</v>
      </c>
      <c r="C5" s="6"/>
      <c r="D5" s="6"/>
    </row>
    <row r="6" customFormat="false" ht="15" hidden="false" customHeight="false" outlineLevel="0" collapsed="false">
      <c r="A6" s="6"/>
      <c r="B6" s="8" t="s">
        <v>4</v>
      </c>
      <c r="C6" s="6"/>
      <c r="D6" s="6"/>
    </row>
    <row r="7" customFormat="false" ht="15" hidden="false" customHeight="false" outlineLevel="0" collapsed="false">
      <c r="A7" s="6"/>
      <c r="B7" s="8" t="s">
        <v>5</v>
      </c>
      <c r="C7" s="6"/>
      <c r="D7" s="6"/>
    </row>
    <row r="8" customFormat="false" ht="15" hidden="false" customHeight="false" outlineLevel="0" collapsed="false">
      <c r="A8" s="6"/>
      <c r="B8" s="6"/>
      <c r="C8" s="6"/>
      <c r="D8" s="6"/>
    </row>
    <row r="9" customFormat="false" ht="15" hidden="false" customHeight="false" outlineLevel="0" collapsed="false">
      <c r="A9" s="6"/>
      <c r="B9" s="9" t="s">
        <v>6</v>
      </c>
      <c r="C9" s="6"/>
      <c r="D9" s="6"/>
    </row>
    <row r="10" customFormat="false" ht="15" hidden="false" customHeight="false" outlineLevel="0" collapsed="false">
      <c r="A10" s="6"/>
      <c r="B10" s="7" t="s">
        <v>7</v>
      </c>
      <c r="C10" s="10" t="s">
        <v>8</v>
      </c>
      <c r="D10" s="11"/>
    </row>
    <row r="11" customFormat="false" ht="15" hidden="false" customHeight="false" outlineLevel="0" collapsed="false">
      <c r="A11" s="6"/>
      <c r="B11" s="7" t="s">
        <v>9</v>
      </c>
      <c r="C11" s="10" t="s">
        <v>10</v>
      </c>
      <c r="D11" s="12"/>
    </row>
    <row r="12" customFormat="false" ht="15" hidden="false" customHeight="false" outlineLevel="0" collapsed="false">
      <c r="A12" s="6"/>
      <c r="B12" s="7" t="s">
        <v>11</v>
      </c>
      <c r="C12" s="10" t="s">
        <v>12</v>
      </c>
      <c r="D12" s="12"/>
    </row>
    <row r="13" customFormat="false" ht="15" hidden="false" customHeight="false" outlineLevel="0" collapsed="false">
      <c r="A13" s="6"/>
      <c r="B13" s="7" t="s">
        <v>13</v>
      </c>
      <c r="C13" s="10" t="s">
        <v>14</v>
      </c>
      <c r="D13" s="12"/>
    </row>
    <row r="14" customFormat="false" ht="15" hidden="false" customHeight="false" outlineLevel="0" collapsed="false">
      <c r="A14" s="6"/>
      <c r="B14" s="7" t="s">
        <v>15</v>
      </c>
      <c r="C14" s="10" t="s">
        <v>16</v>
      </c>
      <c r="D14" s="13"/>
    </row>
    <row r="15" customFormat="false" ht="15" hidden="false" customHeight="false" outlineLevel="0" collapsed="false">
      <c r="A15" s="6"/>
      <c r="B15" s="7" t="s">
        <v>17</v>
      </c>
      <c r="C15" s="10" t="s">
        <v>18</v>
      </c>
      <c r="D15" s="14"/>
    </row>
    <row r="16" customFormat="false" ht="15" hidden="false" customHeight="false" outlineLevel="0" collapsed="false">
      <c r="A16" s="6"/>
      <c r="B16" s="7" t="s">
        <v>19</v>
      </c>
      <c r="C16" s="10" t="s">
        <v>20</v>
      </c>
      <c r="D16" s="14"/>
    </row>
    <row r="17" customFormat="false" ht="15" hidden="false" customHeight="false" outlineLevel="0" collapsed="false">
      <c r="A17" s="6"/>
      <c r="B17" s="7" t="s">
        <v>21</v>
      </c>
      <c r="C17" s="10" t="s">
        <v>22</v>
      </c>
      <c r="D17" s="14"/>
    </row>
    <row r="18" customFormat="false" ht="15" hidden="false" customHeight="false" outlineLevel="0" collapsed="false">
      <c r="A18" s="6"/>
      <c r="B18" s="7" t="s">
        <v>23</v>
      </c>
      <c r="C18" s="10" t="s">
        <v>24</v>
      </c>
      <c r="D18" s="12"/>
    </row>
    <row r="19" customFormat="false" ht="15" hidden="false" customHeight="false" outlineLevel="0" collapsed="false">
      <c r="A19" s="6"/>
      <c r="B19" s="7" t="s">
        <v>25</v>
      </c>
      <c r="C19" s="10" t="s">
        <v>26</v>
      </c>
      <c r="D19" s="15"/>
    </row>
    <row r="22" customFormat="false" ht="19.5" hidden="false" customHeight="true" outlineLevel="0" collapsed="false">
      <c r="B22" s="16" t="s">
        <v>27</v>
      </c>
      <c r="C22" s="17"/>
      <c r="D22" s="17"/>
      <c r="E22" s="17"/>
      <c r="F22" s="17"/>
      <c r="G22" s="17"/>
    </row>
    <row r="23" customFormat="false" ht="195.75" hidden="false" customHeight="true" outlineLevel="0" collapsed="false">
      <c r="B23" s="18" t="s">
        <v>28</v>
      </c>
      <c r="C23" s="18"/>
      <c r="D23" s="18"/>
      <c r="E23" s="18"/>
      <c r="F23" s="18"/>
      <c r="G23" s="18"/>
    </row>
    <row r="25" customFormat="false" ht="19.5" hidden="false" customHeight="true" outlineLevel="0" collapsed="false">
      <c r="B25" s="16" t="s">
        <v>29</v>
      </c>
      <c r="C25" s="17"/>
      <c r="D25" s="17"/>
      <c r="E25" s="17"/>
      <c r="F25" s="17"/>
      <c r="G25" s="17"/>
    </row>
    <row r="26" customFormat="false" ht="57" hidden="false" customHeight="true" outlineLevel="0" collapsed="false">
      <c r="B26" s="18" t="s">
        <v>30</v>
      </c>
      <c r="C26" s="18"/>
      <c r="D26" s="18"/>
      <c r="E26" s="18"/>
      <c r="F26" s="18"/>
      <c r="G26" s="18"/>
    </row>
    <row r="27" customFormat="false" ht="15" hidden="false" customHeight="false" outlineLevel="0" collapsed="false">
      <c r="B27" s="19" t="s">
        <v>31</v>
      </c>
      <c r="C27" s="19"/>
      <c r="D27" s="19"/>
      <c r="E27" s="19"/>
      <c r="F27" s="19"/>
      <c r="G27" s="19"/>
    </row>
    <row r="28" customFormat="false" ht="15" hidden="false" customHeight="false" outlineLevel="0" collapsed="false">
      <c r="B28" s="20" t="s">
        <v>32</v>
      </c>
    </row>
  </sheetData>
  <mergeCells count="3">
    <mergeCell ref="B23:G23"/>
    <mergeCell ref="B26:G26"/>
    <mergeCell ref="B27:G27"/>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F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32" min="3" style="0" width="12"/>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6"/>
      <c r="AF1" s="6"/>
    </row>
    <row r="2" customFormat="false" ht="21.75" hidden="false" customHeight="true" outlineLevel="0" collapsed="false">
      <c r="A2" s="1"/>
      <c r="B2" s="21" t="s">
        <v>23</v>
      </c>
      <c r="C2" s="1"/>
      <c r="D2" s="1"/>
      <c r="E2" s="1"/>
      <c r="F2" s="1"/>
      <c r="G2" s="1"/>
      <c r="H2" s="1"/>
      <c r="I2" s="1"/>
      <c r="J2" s="1"/>
      <c r="K2" s="1"/>
      <c r="L2" s="1"/>
      <c r="M2" s="1"/>
      <c r="N2" s="1"/>
      <c r="O2" s="1"/>
      <c r="P2" s="1"/>
      <c r="Q2" s="1"/>
      <c r="R2" s="1"/>
      <c r="S2" s="1"/>
      <c r="T2" s="1"/>
      <c r="U2" s="1"/>
      <c r="V2" s="1"/>
      <c r="W2" s="1"/>
      <c r="X2" s="1"/>
      <c r="Y2" s="1"/>
      <c r="Z2" s="1"/>
      <c r="AA2" s="1"/>
      <c r="AB2" s="1"/>
      <c r="AC2" s="1"/>
      <c r="AD2" s="1"/>
      <c r="AE2" s="6"/>
      <c r="AF2" s="6"/>
    </row>
    <row r="3" customFormat="false" ht="15" hidden="false" customHeight="false" outlineLevel="0" collapsed="false">
      <c r="A3" s="1"/>
      <c r="B3" s="22" t="s">
        <v>190</v>
      </c>
      <c r="C3" s="1"/>
      <c r="D3" s="1"/>
      <c r="E3" s="1"/>
      <c r="F3" s="1"/>
      <c r="G3" s="1"/>
      <c r="H3" s="1"/>
      <c r="I3" s="1"/>
      <c r="J3" s="1"/>
      <c r="K3" s="1"/>
      <c r="L3" s="1"/>
      <c r="M3" s="1"/>
      <c r="N3" s="1"/>
      <c r="O3" s="1"/>
      <c r="P3" s="1"/>
      <c r="Q3" s="1"/>
      <c r="R3" s="1"/>
      <c r="S3" s="1"/>
      <c r="T3" s="1"/>
      <c r="U3" s="1"/>
      <c r="V3" s="1"/>
      <c r="W3" s="1"/>
      <c r="X3" s="1"/>
      <c r="Y3" s="1"/>
      <c r="Z3" s="1"/>
      <c r="AA3" s="1"/>
      <c r="AB3" s="1"/>
      <c r="AC3" s="1"/>
      <c r="AD3" s="1"/>
      <c r="AE3" s="6"/>
      <c r="AF3" s="6"/>
    </row>
    <row r="4" customFormat="false" ht="15" hidden="false" customHeight="false" outlineLevel="0" collapsed="false">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row>
    <row r="5" customFormat="false" ht="15" hidden="false" customHeight="false" outlineLevel="0" collapsed="false">
      <c r="A5" s="6"/>
      <c r="B5" s="29" t="s">
        <v>36</v>
      </c>
      <c r="C5" s="30" t="n">
        <f aca="false">Launch_Year+0</f>
        <v>2025</v>
      </c>
      <c r="D5" s="30" t="n">
        <f aca="false">Launch_Year+1</f>
        <v>2026</v>
      </c>
      <c r="E5" s="30" t="n">
        <f aca="false">Launch_Year+2</f>
        <v>2027</v>
      </c>
      <c r="F5" s="30" t="n">
        <f aca="false">Launch_Year+3</f>
        <v>2028</v>
      </c>
      <c r="G5" s="30" t="n">
        <f aca="false">Launch_Year+4</f>
        <v>2029</v>
      </c>
      <c r="H5" s="30" t="n">
        <f aca="false">Launch_Year+5</f>
        <v>2030</v>
      </c>
      <c r="I5" s="30" t="n">
        <f aca="false">Launch_Year+6</f>
        <v>2031</v>
      </c>
      <c r="J5" s="30" t="n">
        <f aca="false">Launch_Year+7</f>
        <v>2032</v>
      </c>
      <c r="K5" s="30" t="n">
        <f aca="false">Launch_Year+8</f>
        <v>2033</v>
      </c>
      <c r="L5" s="30" t="n">
        <f aca="false">Launch_Year+9</f>
        <v>2034</v>
      </c>
      <c r="M5" s="30" t="n">
        <f aca="false">Launch_Year+10</f>
        <v>2035</v>
      </c>
      <c r="N5" s="30" t="n">
        <f aca="false">Launch_Year+11</f>
        <v>2036</v>
      </c>
      <c r="O5" s="30" t="n">
        <f aca="false">Launch_Year+12</f>
        <v>2037</v>
      </c>
      <c r="P5" s="30" t="n">
        <f aca="false">Launch_Year+13</f>
        <v>2038</v>
      </c>
      <c r="Q5" s="30" t="n">
        <f aca="false">Launch_Year+14</f>
        <v>2039</v>
      </c>
      <c r="R5" s="30" t="n">
        <f aca="false">Launch_Year+15</f>
        <v>2040</v>
      </c>
      <c r="S5" s="30" t="n">
        <f aca="false">Launch_Year+16</f>
        <v>2041</v>
      </c>
      <c r="T5" s="30" t="n">
        <f aca="false">Launch_Year+17</f>
        <v>2042</v>
      </c>
      <c r="U5" s="30" t="n">
        <f aca="false">Launch_Year+18</f>
        <v>2043</v>
      </c>
      <c r="V5" s="30" t="n">
        <f aca="false">Launch_Year+19</f>
        <v>2044</v>
      </c>
      <c r="W5" s="30" t="n">
        <f aca="false">Launch_Year+20</f>
        <v>2045</v>
      </c>
      <c r="X5" s="30" t="n">
        <f aca="false">Launch_Year+21</f>
        <v>2046</v>
      </c>
      <c r="Y5" s="30" t="n">
        <f aca="false">Launch_Year+22</f>
        <v>2047</v>
      </c>
      <c r="Z5" s="30" t="n">
        <f aca="false">Launch_Year+23</f>
        <v>2048</v>
      </c>
      <c r="AA5" s="30" t="n">
        <f aca="false">Launch_Year+24</f>
        <v>2049</v>
      </c>
      <c r="AB5" s="30" t="n">
        <f aca="false">Launch_Year+25</f>
        <v>2050</v>
      </c>
      <c r="AC5" s="30" t="n">
        <f aca="false">Launch_Year+26</f>
        <v>2051</v>
      </c>
      <c r="AD5" s="30" t="n">
        <f aca="false">Launch_Year+27</f>
        <v>2052</v>
      </c>
      <c r="AE5" s="30" t="n">
        <f aca="false">Launch_Year+28</f>
        <v>2053</v>
      </c>
      <c r="AF5" s="30" t="n">
        <f aca="false">Launch_Year+29</f>
        <v>2054</v>
      </c>
    </row>
    <row r="6" customFormat="false" ht="15" hidden="false" customHeight="false" outlineLevel="0" collapsed="false">
      <c r="A6" s="6"/>
      <c r="B6" s="23" t="s">
        <v>191</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row>
    <row r="7" customFormat="false" ht="15" hidden="false" customHeight="false" outlineLevel="0" collapsed="false">
      <c r="A7" s="6"/>
      <c r="B7" s="10" t="s">
        <v>192</v>
      </c>
      <c r="C7" s="33" t="n">
        <f aca="false">GP_Dom_Eq*Ret_Dom_Eq+GP_Intl_Eq*Ret_Intl_Eq+GP_Fixed_Inc*Ret_Fixed_Inc+GP_TIPS*Ret_TIPS+GP_Cash*Ret_Cash</f>
        <v>0.07655</v>
      </c>
      <c r="D7" s="33" t="n">
        <f aca="false">GP_Dom_Eq*Ret_Dom_Eq+GP_Intl_Eq*Ret_Intl_Eq+GP_Fixed_Inc*Ret_Fixed_Inc+GP_TIPS*Ret_TIPS+GP_Cash*Ret_Cash</f>
        <v>0.0758083333333333</v>
      </c>
      <c r="E7" s="33" t="n">
        <f aca="false">GP_Dom_Eq*Ret_Dom_Eq+GP_Intl_Eq*Ret_Intl_Eq+GP_Fixed_Inc*Ret_Fixed_Inc+GP_TIPS*Ret_TIPS+GP_Cash*Ret_Cash</f>
        <v>0.0750666666666667</v>
      </c>
      <c r="F7" s="33" t="n">
        <f aca="false">GP_Dom_Eq*Ret_Dom_Eq+GP_Intl_Eq*Ret_Intl_Eq+GP_Fixed_Inc*Ret_Fixed_Inc+GP_TIPS*Ret_TIPS+GP_Cash*Ret_Cash</f>
        <v>0.074325</v>
      </c>
      <c r="G7" s="33" t="n">
        <f aca="false">GP_Dom_Eq*Ret_Dom_Eq+GP_Intl_Eq*Ret_Intl_Eq+GP_Fixed_Inc*Ret_Fixed_Inc+GP_TIPS*Ret_TIPS+GP_Cash*Ret_Cash</f>
        <v>0.0735833333333333</v>
      </c>
      <c r="H7" s="33" t="n">
        <f aca="false">GP_Dom_Eq*Ret_Dom_Eq+GP_Intl_Eq*Ret_Intl_Eq+GP_Fixed_Inc*Ret_Fixed_Inc+GP_TIPS*Ret_TIPS+GP_Cash*Ret_Cash</f>
        <v>0.0728416666666667</v>
      </c>
      <c r="I7" s="33" t="n">
        <f aca="false">GP_Dom_Eq*Ret_Dom_Eq+GP_Intl_Eq*Ret_Intl_Eq+GP_Fixed_Inc*Ret_Fixed_Inc+GP_TIPS*Ret_TIPS+GP_Cash*Ret_Cash</f>
        <v>0.0721</v>
      </c>
      <c r="J7" s="33" t="n">
        <f aca="false">GP_Dom_Eq*Ret_Dom_Eq+GP_Intl_Eq*Ret_Intl_Eq+GP_Fixed_Inc*Ret_Fixed_Inc+GP_TIPS*Ret_TIPS+GP_Cash*Ret_Cash</f>
        <v>0.0713583333333333</v>
      </c>
      <c r="K7" s="33" t="n">
        <f aca="false">GP_Dom_Eq*Ret_Dom_Eq+GP_Intl_Eq*Ret_Intl_Eq+GP_Fixed_Inc*Ret_Fixed_Inc+GP_TIPS*Ret_TIPS+GP_Cash*Ret_Cash</f>
        <v>0.0706166666666667</v>
      </c>
      <c r="L7" s="33" t="n">
        <f aca="false">GP_Dom_Eq*Ret_Dom_Eq+GP_Intl_Eq*Ret_Intl_Eq+GP_Fixed_Inc*Ret_Fixed_Inc+GP_TIPS*Ret_TIPS+GP_Cash*Ret_Cash</f>
        <v>0.069875</v>
      </c>
      <c r="M7" s="33" t="n">
        <f aca="false">GP_Dom_Eq*Ret_Dom_Eq+GP_Intl_Eq*Ret_Intl_Eq+GP_Fixed_Inc*Ret_Fixed_Inc+GP_TIPS*Ret_TIPS+GP_Cash*Ret_Cash</f>
        <v>0.0691333333333333</v>
      </c>
      <c r="N7" s="33" t="n">
        <f aca="false">GP_Dom_Eq*Ret_Dom_Eq+GP_Intl_Eq*Ret_Intl_Eq+GP_Fixed_Inc*Ret_Fixed_Inc+GP_TIPS*Ret_TIPS+GP_Cash*Ret_Cash</f>
        <v>0.0683916666666667</v>
      </c>
      <c r="O7" s="33" t="n">
        <f aca="false">GP_Dom_Eq*Ret_Dom_Eq+GP_Intl_Eq*Ret_Intl_Eq+GP_Fixed_Inc*Ret_Fixed_Inc+GP_TIPS*Ret_TIPS+GP_Cash*Ret_Cash</f>
        <v>0.06765</v>
      </c>
      <c r="P7" s="33" t="n">
        <f aca="false">GP_Dom_Eq*Ret_Dom_Eq+GP_Intl_Eq*Ret_Intl_Eq+GP_Fixed_Inc*Ret_Fixed_Inc+GP_TIPS*Ret_TIPS+GP_Cash*Ret_Cash</f>
        <v>0.0669083333333333</v>
      </c>
      <c r="Q7" s="33" t="n">
        <f aca="false">GP_Dom_Eq*Ret_Dom_Eq+GP_Intl_Eq*Ret_Intl_Eq+GP_Fixed_Inc*Ret_Fixed_Inc+GP_TIPS*Ret_TIPS+GP_Cash*Ret_Cash</f>
        <v>0.0661666666666667</v>
      </c>
      <c r="R7" s="33" t="n">
        <f aca="false">GP_Dom_Eq*Ret_Dom_Eq+GP_Intl_Eq*Ret_Intl_Eq+GP_Fixed_Inc*Ret_Fixed_Inc+GP_TIPS*Ret_TIPS+GP_Cash*Ret_Cash</f>
        <v>0.065425</v>
      </c>
      <c r="S7" s="33" t="n">
        <f aca="false">GP_Dom_Eq*Ret_Dom_Eq+GP_Intl_Eq*Ret_Intl_Eq+GP_Fixed_Inc*Ret_Fixed_Inc+GP_TIPS*Ret_TIPS+GP_Cash*Ret_Cash</f>
        <v>0.0646833333333333</v>
      </c>
      <c r="T7" s="33" t="n">
        <f aca="false">GP_Dom_Eq*Ret_Dom_Eq+GP_Intl_Eq*Ret_Intl_Eq+GP_Fixed_Inc*Ret_Fixed_Inc+GP_TIPS*Ret_TIPS+GP_Cash*Ret_Cash</f>
        <v>0.0639416666666667</v>
      </c>
      <c r="U7" s="33" t="n">
        <f aca="false">GP_Dom_Eq*Ret_Dom_Eq+GP_Intl_Eq*Ret_Intl_Eq+GP_Fixed_Inc*Ret_Fixed_Inc+GP_TIPS*Ret_TIPS+GP_Cash*Ret_Cash</f>
        <v>0.0632</v>
      </c>
      <c r="V7" s="33" t="n">
        <f aca="false">GP_Dom_Eq*Ret_Dom_Eq+GP_Intl_Eq*Ret_Intl_Eq+GP_Fixed_Inc*Ret_Fixed_Inc+GP_TIPS*Ret_TIPS+GP_Cash*Ret_Cash</f>
        <v>0.0624583333333333</v>
      </c>
      <c r="W7" s="33" t="n">
        <f aca="false">GP_Dom_Eq*Ret_Dom_Eq+GP_Intl_Eq*Ret_Intl_Eq+GP_Fixed_Inc*Ret_Fixed_Inc+GP_TIPS*Ret_TIPS+GP_Cash*Ret_Cash</f>
        <v>0.0617166666666667</v>
      </c>
      <c r="X7" s="33" t="n">
        <f aca="false">GP_Dom_Eq*Ret_Dom_Eq+GP_Intl_Eq*Ret_Intl_Eq+GP_Fixed_Inc*Ret_Fixed_Inc+GP_TIPS*Ret_TIPS+GP_Cash*Ret_Cash</f>
        <v>0.060975</v>
      </c>
      <c r="Y7" s="33" t="n">
        <f aca="false">GP_Dom_Eq*Ret_Dom_Eq+GP_Intl_Eq*Ret_Intl_Eq+GP_Fixed_Inc*Ret_Fixed_Inc+GP_TIPS*Ret_TIPS+GP_Cash*Ret_Cash</f>
        <v>0.0602333333333334</v>
      </c>
      <c r="Z7" s="33" t="n">
        <f aca="false">GP_Dom_Eq*Ret_Dom_Eq+GP_Intl_Eq*Ret_Intl_Eq+GP_Fixed_Inc*Ret_Fixed_Inc+GP_TIPS*Ret_TIPS+GP_Cash*Ret_Cash</f>
        <v>0.0594916666666667</v>
      </c>
      <c r="AA7" s="33" t="n">
        <f aca="false">GP_Dom_Eq*Ret_Dom_Eq+GP_Intl_Eq*Ret_Intl_Eq+GP_Fixed_Inc*Ret_Fixed_Inc+GP_TIPS*Ret_TIPS+GP_Cash*Ret_Cash</f>
        <v>0.05875</v>
      </c>
      <c r="AB7" s="33" t="n">
        <f aca="false">GP_Dom_Eq*Ret_Dom_Eq+GP_Intl_Eq*Ret_Intl_Eq+GP_Fixed_Inc*Ret_Fixed_Inc+GP_TIPS*Ret_TIPS+GP_Cash*Ret_Cash</f>
        <v>0.0580083333333333</v>
      </c>
      <c r="AC7" s="33" t="n">
        <f aca="false">GP_Dom_Eq*Ret_Dom_Eq+GP_Intl_Eq*Ret_Intl_Eq+GP_Fixed_Inc*Ret_Fixed_Inc+GP_TIPS*Ret_TIPS+GP_Cash*Ret_Cash</f>
        <v>0.0572666666666667</v>
      </c>
      <c r="AD7" s="33" t="n">
        <f aca="false">GP_Dom_Eq*Ret_Dom_Eq+GP_Intl_Eq*Ret_Intl_Eq+GP_Fixed_Inc*Ret_Fixed_Inc+GP_TIPS*Ret_TIPS+GP_Cash*Ret_Cash</f>
        <v>0.056525</v>
      </c>
      <c r="AE7" s="33" t="n">
        <f aca="false">GP_Dom_Eq*Ret_Dom_Eq+GP_Intl_Eq*Ret_Intl_Eq+GP_Fixed_Inc*Ret_Fixed_Inc+GP_TIPS*Ret_TIPS+GP_Cash*Ret_Cash</f>
        <v>0.0557833333333333</v>
      </c>
      <c r="AF7" s="33" t="n">
        <f aca="false">GP_Dom_Eq*Ret_Dom_Eq+GP_Intl_Eq*Ret_Intl_Eq+GP_Fixed_Inc*Ret_Fixed_Inc+GP_TIPS*Ret_TIPS+GP_Cash*Ret_Cash</f>
        <v>0.0550416666666667</v>
      </c>
    </row>
    <row r="8" customFormat="false" ht="15" hidden="false" customHeight="false" outlineLevel="0" collapsed="false">
      <c r="A8" s="6"/>
      <c r="B8" s="38" t="s">
        <v>193</v>
      </c>
      <c r="C8" s="33" t="n">
        <f aca="false">(Mgmt_Fee_Bps+Admin_Fee_Bps)/10000</f>
        <v>0.004</v>
      </c>
      <c r="D8" s="33" t="n">
        <f aca="false">(Mgmt_Fee_Bps+Admin_Fee_Bps)/10000</f>
        <v>0.004</v>
      </c>
      <c r="E8" s="33" t="n">
        <f aca="false">(Mgmt_Fee_Bps+Admin_Fee_Bps)/10000</f>
        <v>0.004</v>
      </c>
      <c r="F8" s="33" t="n">
        <f aca="false">(Mgmt_Fee_Bps+Admin_Fee_Bps)/10000</f>
        <v>0.004</v>
      </c>
      <c r="G8" s="33" t="n">
        <f aca="false">(Mgmt_Fee_Bps+Admin_Fee_Bps)/10000</f>
        <v>0.004</v>
      </c>
      <c r="H8" s="33" t="n">
        <f aca="false">(Mgmt_Fee_Bps+Admin_Fee_Bps)/10000</f>
        <v>0.004</v>
      </c>
      <c r="I8" s="33" t="n">
        <f aca="false">(Mgmt_Fee_Bps+Admin_Fee_Bps)/10000</f>
        <v>0.004</v>
      </c>
      <c r="J8" s="33" t="n">
        <f aca="false">(Mgmt_Fee_Bps+Admin_Fee_Bps)/10000</f>
        <v>0.004</v>
      </c>
      <c r="K8" s="33" t="n">
        <f aca="false">(Mgmt_Fee_Bps+Admin_Fee_Bps)/10000</f>
        <v>0.004</v>
      </c>
      <c r="L8" s="33" t="n">
        <f aca="false">(Mgmt_Fee_Bps+Admin_Fee_Bps)/10000</f>
        <v>0.004</v>
      </c>
      <c r="M8" s="33" t="n">
        <f aca="false">(Mgmt_Fee_Bps+Admin_Fee_Bps)/10000</f>
        <v>0.004</v>
      </c>
      <c r="N8" s="33" t="n">
        <f aca="false">(Mgmt_Fee_Bps+Admin_Fee_Bps)/10000</f>
        <v>0.004</v>
      </c>
      <c r="O8" s="33" t="n">
        <f aca="false">(Mgmt_Fee_Bps+Admin_Fee_Bps)/10000</f>
        <v>0.004</v>
      </c>
      <c r="P8" s="33" t="n">
        <f aca="false">(Mgmt_Fee_Bps+Admin_Fee_Bps)/10000</f>
        <v>0.004</v>
      </c>
      <c r="Q8" s="33" t="n">
        <f aca="false">(Mgmt_Fee_Bps+Admin_Fee_Bps)/10000</f>
        <v>0.004</v>
      </c>
      <c r="R8" s="33" t="n">
        <f aca="false">(Mgmt_Fee_Bps+Admin_Fee_Bps)/10000</f>
        <v>0.004</v>
      </c>
      <c r="S8" s="33" t="n">
        <f aca="false">(Mgmt_Fee_Bps+Admin_Fee_Bps)/10000</f>
        <v>0.004</v>
      </c>
      <c r="T8" s="33" t="n">
        <f aca="false">(Mgmt_Fee_Bps+Admin_Fee_Bps)/10000</f>
        <v>0.004</v>
      </c>
      <c r="U8" s="33" t="n">
        <f aca="false">(Mgmt_Fee_Bps+Admin_Fee_Bps)/10000</f>
        <v>0.004</v>
      </c>
      <c r="V8" s="33" t="n">
        <f aca="false">(Mgmt_Fee_Bps+Admin_Fee_Bps)/10000</f>
        <v>0.004</v>
      </c>
      <c r="W8" s="33" t="n">
        <f aca="false">(Mgmt_Fee_Bps+Admin_Fee_Bps)/10000</f>
        <v>0.004</v>
      </c>
      <c r="X8" s="33" t="n">
        <f aca="false">(Mgmt_Fee_Bps+Admin_Fee_Bps)/10000</f>
        <v>0.004</v>
      </c>
      <c r="Y8" s="33" t="n">
        <f aca="false">(Mgmt_Fee_Bps+Admin_Fee_Bps)/10000</f>
        <v>0.004</v>
      </c>
      <c r="Z8" s="33" t="n">
        <f aca="false">(Mgmt_Fee_Bps+Admin_Fee_Bps)/10000</f>
        <v>0.004</v>
      </c>
      <c r="AA8" s="33" t="n">
        <f aca="false">(Mgmt_Fee_Bps+Admin_Fee_Bps)/10000</f>
        <v>0.004</v>
      </c>
      <c r="AB8" s="33" t="n">
        <f aca="false">(Mgmt_Fee_Bps+Admin_Fee_Bps)/10000</f>
        <v>0.004</v>
      </c>
      <c r="AC8" s="33" t="n">
        <f aca="false">(Mgmt_Fee_Bps+Admin_Fee_Bps)/10000</f>
        <v>0.004</v>
      </c>
      <c r="AD8" s="33" t="n">
        <f aca="false">(Mgmt_Fee_Bps+Admin_Fee_Bps)/10000</f>
        <v>0.004</v>
      </c>
      <c r="AE8" s="33" t="n">
        <f aca="false">(Mgmt_Fee_Bps+Admin_Fee_Bps)/10000</f>
        <v>0.004</v>
      </c>
      <c r="AF8" s="33" t="n">
        <f aca="false">(Mgmt_Fee_Bps+Admin_Fee_Bps)/10000</f>
        <v>0.004</v>
      </c>
    </row>
    <row r="9" customFormat="false" ht="15" hidden="false" customHeight="false" outlineLevel="0" collapsed="false">
      <c r="A9" s="6"/>
      <c r="B9" s="39" t="s">
        <v>194</v>
      </c>
      <c r="C9" s="45" t="n">
        <f aca="false">C7-C8</f>
        <v>0.07255</v>
      </c>
      <c r="D9" s="45" t="n">
        <f aca="false">D7-D8</f>
        <v>0.0718083333333333</v>
      </c>
      <c r="E9" s="45" t="n">
        <f aca="false">E7-E8</f>
        <v>0.0710666666666667</v>
      </c>
      <c r="F9" s="45" t="n">
        <f aca="false">F7-F8</f>
        <v>0.070325</v>
      </c>
      <c r="G9" s="45" t="n">
        <f aca="false">G7-G8</f>
        <v>0.0695833333333333</v>
      </c>
      <c r="H9" s="45" t="n">
        <f aca="false">H7-H8</f>
        <v>0.0688416666666667</v>
      </c>
      <c r="I9" s="45" t="n">
        <f aca="false">I7-I8</f>
        <v>0.0681</v>
      </c>
      <c r="J9" s="45" t="n">
        <f aca="false">J7-J8</f>
        <v>0.0673583333333333</v>
      </c>
      <c r="K9" s="45" t="n">
        <f aca="false">K7-K8</f>
        <v>0.0666166666666667</v>
      </c>
      <c r="L9" s="45" t="n">
        <f aca="false">L7-L8</f>
        <v>0.065875</v>
      </c>
      <c r="M9" s="45" t="n">
        <f aca="false">M7-M8</f>
        <v>0.0651333333333333</v>
      </c>
      <c r="N9" s="45" t="n">
        <f aca="false">N7-N8</f>
        <v>0.0643916666666667</v>
      </c>
      <c r="O9" s="45" t="n">
        <f aca="false">O7-O8</f>
        <v>0.06365</v>
      </c>
      <c r="P9" s="45" t="n">
        <f aca="false">P7-P8</f>
        <v>0.0629083333333333</v>
      </c>
      <c r="Q9" s="45" t="n">
        <f aca="false">Q7-Q8</f>
        <v>0.0621666666666667</v>
      </c>
      <c r="R9" s="45" t="n">
        <f aca="false">R7-R8</f>
        <v>0.061425</v>
      </c>
      <c r="S9" s="45" t="n">
        <f aca="false">S7-S8</f>
        <v>0.0606833333333333</v>
      </c>
      <c r="T9" s="45" t="n">
        <f aca="false">T7-T8</f>
        <v>0.0599416666666667</v>
      </c>
      <c r="U9" s="45" t="n">
        <f aca="false">U7-U8</f>
        <v>0.0592</v>
      </c>
      <c r="V9" s="45" t="n">
        <f aca="false">V7-V8</f>
        <v>0.0584583333333333</v>
      </c>
      <c r="W9" s="45" t="n">
        <f aca="false">W7-W8</f>
        <v>0.0577166666666667</v>
      </c>
      <c r="X9" s="45" t="n">
        <f aca="false">X7-X8</f>
        <v>0.056975</v>
      </c>
      <c r="Y9" s="45" t="n">
        <f aca="false">Y7-Y8</f>
        <v>0.0562333333333333</v>
      </c>
      <c r="Z9" s="45" t="n">
        <f aca="false">Z7-Z8</f>
        <v>0.0554916666666667</v>
      </c>
      <c r="AA9" s="45" t="n">
        <f aca="false">AA7-AA8</f>
        <v>0.05475</v>
      </c>
      <c r="AB9" s="45" t="n">
        <f aca="false">AB7-AB8</f>
        <v>0.0540083333333333</v>
      </c>
      <c r="AC9" s="45" t="n">
        <f aca="false">AC7-AC8</f>
        <v>0.0532666666666667</v>
      </c>
      <c r="AD9" s="45" t="n">
        <f aca="false">AD7-AD8</f>
        <v>0.052525</v>
      </c>
      <c r="AE9" s="45" t="n">
        <f aca="false">AE7-AE8</f>
        <v>0.0517833333333333</v>
      </c>
      <c r="AF9" s="45" t="n">
        <f aca="false">AF7-AF8</f>
        <v>0.0510416666666667</v>
      </c>
    </row>
    <row r="10" customFormat="false" ht="15" hidden="false" customHeight="false" outlineLevel="0" collapsed="false">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row>
    <row r="11" customFormat="false" ht="15" hidden="false" customHeight="false" outlineLevel="0" collapsed="false">
      <c r="A11" s="6"/>
      <c r="B11" s="10" t="s">
        <v>195</v>
      </c>
      <c r="C11" s="46" t="n">
        <f aca="false">1+C9</f>
        <v>1.07255</v>
      </c>
      <c r="D11" s="46" t="n">
        <f aca="false">C11*(1+D9)</f>
        <v>1.14956802791667</v>
      </c>
      <c r="E11" s="46" t="n">
        <f aca="false">D11*(1+E9)</f>
        <v>1.23126399576728</v>
      </c>
      <c r="F11" s="46" t="n">
        <f aca="false">E11*(1+F9)</f>
        <v>1.31785263626961</v>
      </c>
      <c r="G11" s="46" t="n">
        <f aca="false">F11*(1+G9)</f>
        <v>1.40955321554337</v>
      </c>
      <c r="H11" s="46" t="n">
        <f aca="false">G11*(1+H9)</f>
        <v>1.50658920815674</v>
      </c>
      <c r="I11" s="46" t="n">
        <f aca="false">H11*(1+I9)</f>
        <v>1.60918793323221</v>
      </c>
      <c r="J11" s="46" t="n">
        <f aca="false">I11*(1+J9)</f>
        <v>1.71758015043484</v>
      </c>
      <c r="K11" s="46" t="n">
        <f aca="false">J11*(1+K9)</f>
        <v>1.83199961478965</v>
      </c>
      <c r="L11" s="46" t="n">
        <f aca="false">K11*(1+L9)</f>
        <v>1.95268258941391</v>
      </c>
      <c r="M11" s="46" t="n">
        <f aca="false">L11*(1+M9)</f>
        <v>2.07986731540441</v>
      </c>
      <c r="N11" s="46" t="n">
        <f aca="false">M11*(1+N9)</f>
        <v>2.21379343828882</v>
      </c>
      <c r="O11" s="46" t="n">
        <f aca="false">N11*(1+O9)</f>
        <v>2.3547013906359</v>
      </c>
      <c r="P11" s="46" t="n">
        <f aca="false">O11*(1+P9)</f>
        <v>2.50283173061849</v>
      </c>
      <c r="Q11" s="46" t="n">
        <f aca="false">P11*(1+Q9)</f>
        <v>2.65842443653861</v>
      </c>
      <c r="R11" s="46" t="n">
        <f aca="false">Q11*(1+R9)</f>
        <v>2.82171815755299</v>
      </c>
      <c r="S11" s="46" t="n">
        <f aca="false">R11*(1+S9)</f>
        <v>2.9929494210805</v>
      </c>
      <c r="T11" s="46" t="n">
        <f aca="false">S11*(1+T9)</f>
        <v>3.1723517976291</v>
      </c>
      <c r="U11" s="46" t="n">
        <f aca="false">T11*(1+U9)</f>
        <v>3.36015502404874</v>
      </c>
      <c r="V11" s="46" t="n">
        <f aca="false">U11*(1+V9)</f>
        <v>3.55658408649626</v>
      </c>
      <c r="W11" s="46" t="n">
        <f aca="false">V11*(1+W9)</f>
        <v>3.76185826468853</v>
      </c>
      <c r="X11" s="46" t="n">
        <f aca="false">W11*(1+X9)</f>
        <v>3.97619013931916</v>
      </c>
      <c r="Y11" s="46" t="n">
        <f aca="false">X11*(1+Y9)</f>
        <v>4.19978456482021</v>
      </c>
      <c r="Z11" s="46" t="n">
        <f aca="false">Y11*(1+Z9)</f>
        <v>4.43283760996302</v>
      </c>
      <c r="AA11" s="46" t="n">
        <f aca="false">Z11*(1+AA9)</f>
        <v>4.6755354691085</v>
      </c>
      <c r="AB11" s="46" t="n">
        <f aca="false">AA11*(1+AB9)</f>
        <v>4.92805334723594</v>
      </c>
      <c r="AC11" s="46" t="n">
        <f aca="false">AB11*(1+AC9)</f>
        <v>5.1905543221987</v>
      </c>
      <c r="AD11" s="46" t="n">
        <f aca="false">AC11*(1+AD9)</f>
        <v>5.46318818797219</v>
      </c>
      <c r="AE11" s="46" t="n">
        <f aca="false">AD11*(1+AE9)</f>
        <v>5.74609028297268</v>
      </c>
      <c r="AF11" s="46" t="n">
        <f aca="false">AE11*(1+AF9)</f>
        <v>6.03938030783275</v>
      </c>
    </row>
    <row r="12" customFormat="false" ht="15" hidden="false" customHeight="false" outlineLevel="0" collapsed="false">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row>
    <row r="13" customFormat="false" ht="15" hidden="false" customHeight="false" outlineLevel="0" collapsed="false">
      <c r="A13" s="6"/>
      <c r="B13" s="23" t="s">
        <v>196</v>
      </c>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row>
    <row r="14" customFormat="false" ht="15" hidden="false" customHeight="false" outlineLevel="0" collapsed="false">
      <c r="A14" s="6"/>
      <c r="B14" s="10" t="s">
        <v>197</v>
      </c>
      <c r="C14" s="33" t="n">
        <f aca="false">IFERROR(IS_EBITDA/IS_Net_Revenue,0)</f>
        <v>-15.2184010596431</v>
      </c>
      <c r="D14" s="33" t="n">
        <f aca="false">IFERROR(IS_EBITDA/IS_Net_Revenue,0)</f>
        <v>-6.69831814316024</v>
      </c>
      <c r="E14" s="33" t="n">
        <f aca="false">IFERROR(IS_EBITDA/IS_Net_Revenue,0)</f>
        <v>-3.93323501760226</v>
      </c>
      <c r="F14" s="33" t="n">
        <f aca="false">IFERROR(IS_EBITDA/IS_Net_Revenue,0)</f>
        <v>-2.57200243736419</v>
      </c>
      <c r="G14" s="33" t="n">
        <f aca="false">IFERROR(IS_EBITDA/IS_Net_Revenue,0)</f>
        <v>-1.76645710920094</v>
      </c>
      <c r="H14" s="33" t="n">
        <f aca="false">IFERROR(IS_EBITDA/IS_Net_Revenue,0)</f>
        <v>-1.23688618461103</v>
      </c>
      <c r="I14" s="33" t="n">
        <f aca="false">IFERROR(IS_EBITDA/IS_Net_Revenue,0)</f>
        <v>-0.864157355794483</v>
      </c>
      <c r="J14" s="33" t="n">
        <f aca="false">IFERROR(IS_EBITDA/IS_Net_Revenue,0)</f>
        <v>-0.588958540716297</v>
      </c>
      <c r="K14" s="33" t="n">
        <f aca="false">IFERROR(IS_EBITDA/IS_Net_Revenue,0)</f>
        <v>-0.378446710317999</v>
      </c>
      <c r="L14" s="33" t="n">
        <f aca="false">IFERROR(IS_EBITDA/IS_Net_Revenue,0)</f>
        <v>-0.212970617012097</v>
      </c>
      <c r="M14" s="33" t="n">
        <f aca="false">IFERROR(IS_EBITDA/IS_Net_Revenue,0)</f>
        <v>-0.0800564990009864</v>
      </c>
      <c r="N14" s="33" t="n">
        <f aca="false">IFERROR(IS_EBITDA/IS_Net_Revenue,0)</f>
        <v>0.0285911105448564</v>
      </c>
      <c r="O14" s="33" t="n">
        <f aca="false">IFERROR(IS_EBITDA/IS_Net_Revenue,0)</f>
        <v>0.118700927726295</v>
      </c>
      <c r="P14" s="33" t="n">
        <f aca="false">IFERROR(IS_EBITDA/IS_Net_Revenue,0)</f>
        <v>0.194354204060194</v>
      </c>
      <c r="Q14" s="33" t="n">
        <f aca="false">IFERROR(IS_EBITDA/IS_Net_Revenue,0)</f>
        <v>0.258535489856388</v>
      </c>
      <c r="R14" s="33" t="n">
        <f aca="false">IFERROR(IS_EBITDA/IS_Net_Revenue,0)</f>
        <v>0.31347642355177</v>
      </c>
      <c r="S14" s="33" t="n">
        <f aca="false">IFERROR(IS_EBITDA/IS_Net_Revenue,0)</f>
        <v>0.360877931740184</v>
      </c>
      <c r="T14" s="33" t="n">
        <f aca="false">IFERROR(IS_EBITDA/IS_Net_Revenue,0)</f>
        <v>0.402058209296339</v>
      </c>
      <c r="U14" s="33" t="n">
        <f aca="false">IFERROR(IS_EBITDA/IS_Net_Revenue,0)</f>
        <v>0.438053870779387</v>
      </c>
      <c r="V14" s="33" t="n">
        <f aca="false">IFERROR(IS_EBITDA/IS_Net_Revenue,0)</f>
        <v>0.469690690451578</v>
      </c>
      <c r="W14" s="33" t="n">
        <f aca="false">IFERROR(IS_EBITDA/IS_Net_Revenue,0)</f>
        <v>0.497634084537472</v>
      </c>
      <c r="X14" s="33" t="n">
        <f aca="false">IFERROR(IS_EBITDA/IS_Net_Revenue,0)</f>
        <v>0.522425791741721</v>
      </c>
      <c r="Y14" s="33" t="n">
        <f aca="false">IFERROR(IS_EBITDA/IS_Net_Revenue,0)</f>
        <v>0.544510959313764</v>
      </c>
      <c r="Z14" s="33" t="n">
        <f aca="false">IFERROR(IS_EBITDA/IS_Net_Revenue,0)</f>
        <v>0.564258437604289</v>
      </c>
      <c r="AA14" s="33" t="n">
        <f aca="false">IFERROR(IS_EBITDA/IS_Net_Revenue,0)</f>
        <v>0.581976187920744</v>
      </c>
      <c r="AB14" s="33" t="n">
        <f aca="false">IFERROR(IS_EBITDA/IS_Net_Revenue,0)</f>
        <v>0.597923121626795</v>
      </c>
      <c r="AC14" s="33" t="n">
        <f aca="false">IFERROR(IS_EBITDA/IS_Net_Revenue,0)</f>
        <v>0.612318297421482</v>
      </c>
      <c r="AD14" s="33" t="n">
        <f aca="false">IFERROR(IS_EBITDA/IS_Net_Revenue,0)</f>
        <v>0.625348138551378</v>
      </c>
      <c r="AE14" s="33" t="n">
        <f aca="false">IFERROR(IS_EBITDA/IS_Net_Revenue,0)</f>
        <v>0.637172148917449</v>
      </c>
      <c r="AF14" s="33" t="n">
        <f aca="false">IFERROR(IS_EBITDA/IS_Net_Revenue,0)</f>
        <v>0.647927479144751</v>
      </c>
    </row>
    <row r="15" customFormat="false" ht="15" hidden="false" customHeight="false" outlineLevel="0" collapsed="false">
      <c r="A15" s="6"/>
      <c r="B15" s="10" t="s">
        <v>198</v>
      </c>
      <c r="C15" s="33" t="n">
        <f aca="false">IFERROR(IS_Net_Income/IS_Net_Revenue,0)</f>
        <v>-15.9630553724947</v>
      </c>
      <c r="D15" s="33" t="n">
        <f aca="false">IFERROR(IS_Net_Income/IS_Net_Revenue,0)</f>
        <v>-7.03819266657836</v>
      </c>
      <c r="E15" s="33" t="n">
        <f aca="false">IFERROR(IS_Net_Income/IS_Net_Revenue,0)</f>
        <v>-4.14240848009912</v>
      </c>
      <c r="F15" s="33" t="n">
        <f aca="false">IFERROR(IS_Net_Income/IS_Net_Revenue,0)</f>
        <v>-2.71728156055173</v>
      </c>
      <c r="G15" s="33" t="n">
        <f aca="false">IFERROR(IS_Net_Income/IS_Net_Revenue,0)</f>
        <v>-1.87424938288581</v>
      </c>
      <c r="H15" s="33" t="n">
        <f aca="false">IFERROR(IS_Net_Income/IS_Net_Revenue,0)</f>
        <v>-1.32027898159914</v>
      </c>
      <c r="I15" s="33" t="n">
        <f aca="false">IFERROR(IS_Net_Income/IS_Net_Revenue,0)</f>
        <v>-0.930567209987524</v>
      </c>
      <c r="J15" s="33" t="n">
        <f aca="false">IFERROR(IS_Net_Income/IS_Net_Revenue,0)</f>
        <v>-0.642980493723326</v>
      </c>
      <c r="K15" s="33" t="n">
        <f aca="false">IFERROR(IS_Net_Income/IS_Net_Revenue,0)</f>
        <v>-0.423114921556263</v>
      </c>
      <c r="L15" s="33" t="n">
        <f aca="false">IFERROR(IS_Net_Income/IS_Net_Revenue,0)</f>
        <v>-0.250386503818238</v>
      </c>
      <c r="M15" s="33" t="n">
        <f aca="false">IFERROR(IS_Net_Income/IS_Net_Revenue,0)</f>
        <v>-0.11173039405991</v>
      </c>
      <c r="N15" s="33" t="n">
        <f aca="false">IFERROR(IS_Net_Income/IS_Net_Revenue,0)</f>
        <v>0.00115586592605595</v>
      </c>
      <c r="O15" s="33" t="n">
        <f aca="false">IFERROR(IS_Net_Income/IS_Net_Revenue,0)</f>
        <v>0.0715703131567108</v>
      </c>
      <c r="P15" s="33" t="n">
        <f aca="false">IFERROR(IS_Net_Income/IS_Net_Revenue,0)</f>
        <v>0.13065044498677</v>
      </c>
      <c r="Q15" s="33" t="n">
        <f aca="false">IFERROR(IS_Net_Income/IS_Net_Revenue,0)</f>
        <v>0.180739590668937</v>
      </c>
      <c r="R15" s="33" t="n">
        <f aca="false">IFERROR(IS_Net_Income/IS_Net_Revenue,0)</f>
        <v>0.223589623739852</v>
      </c>
      <c r="S15" s="33" t="n">
        <f aca="false">IFERROR(IS_Net_Income/IS_Net_Revenue,0)</f>
        <v>0.260535540680091</v>
      </c>
      <c r="T15" s="33" t="n">
        <f aca="false">IFERROR(IS_Net_Income/IS_Net_Revenue,0)</f>
        <v>0.292611723749758</v>
      </c>
      <c r="U15" s="33" t="n">
        <f aca="false">IFERROR(IS_Net_Income/IS_Net_Revenue,0)</f>
        <v>0.320631409950946</v>
      </c>
      <c r="V15" s="33" t="n">
        <f aca="false">IFERROR(IS_Net_Income/IS_Net_Revenue,0)</f>
        <v>0.345242265612617</v>
      </c>
      <c r="W15" s="33" t="n">
        <f aca="false">IFERROR(IS_Net_Income/IS_Net_Revenue,0)</f>
        <v>0.366966044526574</v>
      </c>
      <c r="X15" s="33" t="n">
        <f aca="false">IFERROR(IS_Net_Income/IS_Net_Revenue,0)</f>
        <v>0.386227402254507</v>
      </c>
      <c r="Y15" s="33" t="n">
        <f aca="false">IFERROR(IS_Net_Income/IS_Net_Revenue,0)</f>
        <v>0.403375172340876</v>
      </c>
      <c r="Z15" s="33" t="n">
        <f aca="false">IFERROR(IS_Net_Income/IS_Net_Revenue,0)</f>
        <v>0.418698306738662</v>
      </c>
      <c r="AA15" s="33" t="n">
        <f aca="false">IFERROR(IS_Net_Income/IS_Net_Revenue,0)</f>
        <v>0.432437977067093</v>
      </c>
      <c r="AB15" s="33" t="n">
        <f aca="false">IFERROR(IS_Net_Income/IS_Net_Revenue,0)</f>
        <v>0.444796872209827</v>
      </c>
      <c r="AC15" s="33" t="n">
        <f aca="false">IFERROR(IS_Net_Income/IS_Net_Revenue,0)</f>
        <v>0.455946420538468</v>
      </c>
      <c r="AD15" s="33" t="n">
        <f aca="false">IFERROR(IS_Net_Income/IS_Net_Revenue,0)</f>
        <v>0.466032456688052</v>
      </c>
      <c r="AE15" s="33" t="n">
        <f aca="false">IFERROR(IS_Net_Income/IS_Net_Revenue,0)</f>
        <v>0.475179709189317</v>
      </c>
      <c r="AF15" s="33" t="n">
        <f aca="false">IFERROR(IS_Net_Income/IS_Net_Revenue,0)</f>
        <v>0.483495384775521</v>
      </c>
    </row>
    <row r="16" customFormat="false" ht="15" hidden="false" customHeight="false" outlineLevel="0" collapsed="false">
      <c r="A16" s="6"/>
      <c r="B16" s="10" t="s">
        <v>199</v>
      </c>
      <c r="C16" s="33" t="n">
        <f aca="false">IF(BS_Total_Equity&lt;=0,"N/A",IFERROR(IS_Net_Income/BS_Total_Equity,0))</f>
        <v>-0.0937896964480107</v>
      </c>
      <c r="D16" s="33" t="n">
        <f aca="false">IF(BS_Total_Equity&lt;=0,"N/A",IFERROR(IS_Net_Income/BS_Total_Equity,0))</f>
        <v>-0.0996281858281394</v>
      </c>
      <c r="E16" s="33" t="n">
        <f aca="false">IF(BS_Total_Equity&lt;=0,"N/A",IFERROR(IS_Net_Income/BS_Total_Equity,0))</f>
        <v>-0.105310135531056</v>
      </c>
      <c r="F16" s="33" t="n">
        <f aca="false">IF(BS_Total_Equity&lt;=0,"N/A",IFERROR(IS_Net_Income/BS_Total_Equity,0))</f>
        <v>-0.110446767818993</v>
      </c>
      <c r="G16" s="33" t="n">
        <f aca="false">IF(BS_Total_Equity&lt;=0,"N/A",IFERROR(IS_Net_Income/BS_Total_Equity,0))</f>
        <v>-0.114422430302973</v>
      </c>
      <c r="H16" s="33" t="n">
        <f aca="false">IF(BS_Total_Equity&lt;=0,"N/A",IFERROR(IS_Net_Income/BS_Total_Equity,0))</f>
        <v>-0.116302930567856</v>
      </c>
      <c r="I16" s="33" t="n">
        <f aca="false">IF(BS_Total_Equity&lt;=0,"N/A",IFERROR(IS_Net_Income/BS_Total_Equity,0))</f>
        <v>-0.114748083842165</v>
      </c>
      <c r="J16" s="33" t="n">
        <f aca="false">IF(BS_Total_Equity&lt;=0,"N/A",IFERROR(IS_Net_Income/BS_Total_Equity,0))</f>
        <v>-0.107992766135729</v>
      </c>
      <c r="K16" s="33" t="n">
        <f aca="false">IF(BS_Total_Equity&lt;=0,"N/A",IFERROR(IS_Net_Income/BS_Total_Equity,0))</f>
        <v>-0.0940275658502355</v>
      </c>
      <c r="L16" s="33" t="n">
        <f aca="false">IF(BS_Total_Equity&lt;=0,"N/A",IFERROR(IS_Net_Income/BS_Total_Equity,0))</f>
        <v>-0.0711545055676236</v>
      </c>
      <c r="M16" s="33" t="n">
        <f aca="false">IF(BS_Total_Equity&lt;=0,"N/A",IFERROR(IS_Net_Income/BS_Total_Equity,0))</f>
        <v>-0.0389690668806628</v>
      </c>
      <c r="N16" s="33" t="n">
        <f aca="false">IF(BS_Total_Equity&lt;=0,"N/A",IFERROR(IS_Net_Income/BS_Total_Equity,0))</f>
        <v>0.000471964194327993</v>
      </c>
      <c r="O16" s="33" t="n">
        <f aca="false">IF(BS_Total_Equity&lt;=0,"N/A",IFERROR(IS_Net_Income/BS_Total_Equity,0))</f>
        <v>0.0335098388717977</v>
      </c>
      <c r="P16" s="33" t="n">
        <f aca="false">IF(BS_Total_Equity&lt;=0,"N/A",IFERROR(IS_Net_Income/BS_Total_Equity,0))</f>
        <v>0.0687011328210804</v>
      </c>
      <c r="Q16" s="33" t="n">
        <f aca="false">IF(BS_Total_Equity&lt;=0,"N/A",IFERROR(IS_Net_Income/BS_Total_Equity,0))</f>
        <v>0.104577850948526</v>
      </c>
      <c r="R16" s="33" t="n">
        <f aca="false">IF(BS_Total_Equity&lt;=0,"N/A",IFERROR(IS_Net_Income/BS_Total_Equity,0))</f>
        <v>0.139586488464862</v>
      </c>
      <c r="S16" s="33" t="n">
        <f aca="false">IF(BS_Total_Equity&lt;=0,"N/A",IFERROR(IS_Net_Income/BS_Total_Equity,0))</f>
        <v>0.172307635800194</v>
      </c>
      <c r="T16" s="33" t="n">
        <f aca="false">IF(BS_Total_Equity&lt;=0,"N/A",IFERROR(IS_Net_Income/BS_Total_Equity,0))</f>
        <v>0.201635926070913</v>
      </c>
      <c r="U16" s="33" t="n">
        <f aca="false">IF(BS_Total_Equity&lt;=0,"N/A",IFERROR(IS_Net_Income/BS_Total_Equity,0))</f>
        <v>0.226876516573963</v>
      </c>
      <c r="V16" s="33" t="n">
        <f aca="false">IF(BS_Total_Equity&lt;=0,"N/A",IFERROR(IS_Net_Income/BS_Total_Equity,0))</f>
        <v>0.247749347927457</v>
      </c>
      <c r="W16" s="33" t="n">
        <f aca="false">IF(BS_Total_Equity&lt;=0,"N/A",IFERROR(IS_Net_Income/BS_Total_Equity,0))</f>
        <v>0.26432322562842</v>
      </c>
      <c r="X16" s="33" t="n">
        <f aca="false">IF(BS_Total_Equity&lt;=0,"N/A",IFERROR(IS_Net_Income/BS_Total_Equity,0))</f>
        <v>0.276915247333538</v>
      </c>
      <c r="Y16" s="33" t="n">
        <f aca="false">IF(BS_Total_Equity&lt;=0,"N/A",IFERROR(IS_Net_Income/BS_Total_Equity,0))</f>
        <v>0.285987601200454</v>
      </c>
      <c r="Z16" s="33" t="n">
        <f aca="false">IF(BS_Total_Equity&lt;=0,"N/A",IFERROR(IS_Net_Income/BS_Total_Equity,0))</f>
        <v>0.292061637115338</v>
      </c>
      <c r="AA16" s="33" t="n">
        <f aca="false">IF(BS_Total_Equity&lt;=0,"N/A",IFERROR(IS_Net_Income/BS_Total_Equity,0))</f>
        <v>0.295656679481217</v>
      </c>
      <c r="AB16" s="33" t="n">
        <f aca="false">IF(BS_Total_Equity&lt;=0,"N/A",IFERROR(IS_Net_Income/BS_Total_Equity,0))</f>
        <v>0.297252572185059</v>
      </c>
      <c r="AC16" s="33" t="n">
        <f aca="false">IF(BS_Total_Equity&lt;=0,"N/A",IFERROR(IS_Net_Income/BS_Total_Equity,0))</f>
        <v>0.297270939288528</v>
      </c>
      <c r="AD16" s="33" t="n">
        <f aca="false">IF(BS_Total_Equity&lt;=0,"N/A",IFERROR(IS_Net_Income/BS_Total_Equity,0))</f>
        <v>0.296069313467768</v>
      </c>
      <c r="AE16" s="33" t="n">
        <f aca="false">IF(BS_Total_Equity&lt;=0,"N/A",IFERROR(IS_Net_Income/BS_Total_Equity,0))</f>
        <v>0.293943085897269</v>
      </c>
      <c r="AF16" s="33" t="n">
        <f aca="false">IF(BS_Total_Equity&lt;=0,"N/A",IFERROR(IS_Net_Income/BS_Total_Equity,0))</f>
        <v>0.291131560787935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F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32" min="3" style="0" width="12"/>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6"/>
      <c r="AF1" s="6"/>
    </row>
    <row r="2" customFormat="false" ht="21.75" hidden="false" customHeight="true" outlineLevel="0" collapsed="false">
      <c r="A2" s="1"/>
      <c r="B2" s="21" t="s">
        <v>25</v>
      </c>
      <c r="C2" s="1"/>
      <c r="D2" s="1"/>
      <c r="E2" s="1"/>
      <c r="F2" s="1"/>
      <c r="G2" s="1"/>
      <c r="H2" s="1"/>
      <c r="I2" s="1"/>
      <c r="J2" s="1"/>
      <c r="K2" s="1"/>
      <c r="L2" s="1"/>
      <c r="M2" s="1"/>
      <c r="N2" s="1"/>
      <c r="O2" s="1"/>
      <c r="P2" s="1"/>
      <c r="Q2" s="1"/>
      <c r="R2" s="1"/>
      <c r="S2" s="1"/>
      <c r="T2" s="1"/>
      <c r="U2" s="1"/>
      <c r="V2" s="1"/>
      <c r="W2" s="1"/>
      <c r="X2" s="1"/>
      <c r="Y2" s="1"/>
      <c r="Z2" s="1"/>
      <c r="AA2" s="1"/>
      <c r="AB2" s="1"/>
      <c r="AC2" s="1"/>
      <c r="AD2" s="1"/>
      <c r="AE2" s="6"/>
      <c r="AF2" s="6"/>
    </row>
    <row r="3" customFormat="false" ht="15" hidden="false" customHeight="false" outlineLevel="0" collapsed="false">
      <c r="A3" s="1"/>
      <c r="B3" s="22" t="s">
        <v>200</v>
      </c>
      <c r="C3" s="1"/>
      <c r="D3" s="1"/>
      <c r="E3" s="1"/>
      <c r="F3" s="1"/>
      <c r="G3" s="1"/>
      <c r="H3" s="1"/>
      <c r="I3" s="1"/>
      <c r="J3" s="1"/>
      <c r="K3" s="1"/>
      <c r="L3" s="1"/>
      <c r="M3" s="1"/>
      <c r="N3" s="1"/>
      <c r="O3" s="1"/>
      <c r="P3" s="1"/>
      <c r="Q3" s="1"/>
      <c r="R3" s="1"/>
      <c r="S3" s="1"/>
      <c r="T3" s="1"/>
      <c r="U3" s="1"/>
      <c r="V3" s="1"/>
      <c r="W3" s="1"/>
      <c r="X3" s="1"/>
      <c r="Y3" s="1"/>
      <c r="Z3" s="1"/>
      <c r="AA3" s="1"/>
      <c r="AB3" s="1"/>
      <c r="AC3" s="1"/>
      <c r="AD3" s="1"/>
      <c r="AE3" s="6"/>
      <c r="AF3" s="6"/>
    </row>
    <row r="4" customFormat="false" ht="15" hidden="false" customHeight="false" outlineLevel="0" collapsed="false">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row>
    <row r="5" customFormat="false" ht="15" hidden="false" customHeight="false" outlineLevel="0" collapsed="false">
      <c r="A5" s="6"/>
      <c r="B5" s="29" t="s">
        <v>36</v>
      </c>
      <c r="C5" s="30" t="n">
        <f aca="false">Launch_Year+0</f>
        <v>2025</v>
      </c>
      <c r="D5" s="30" t="n">
        <f aca="false">Launch_Year+1</f>
        <v>2026</v>
      </c>
      <c r="E5" s="30" t="n">
        <f aca="false">Launch_Year+2</f>
        <v>2027</v>
      </c>
      <c r="F5" s="30" t="n">
        <f aca="false">Launch_Year+3</f>
        <v>2028</v>
      </c>
      <c r="G5" s="30" t="n">
        <f aca="false">Launch_Year+4</f>
        <v>2029</v>
      </c>
      <c r="H5" s="30" t="n">
        <f aca="false">Launch_Year+5</f>
        <v>2030</v>
      </c>
      <c r="I5" s="30" t="n">
        <f aca="false">Launch_Year+6</f>
        <v>2031</v>
      </c>
      <c r="J5" s="30" t="n">
        <f aca="false">Launch_Year+7</f>
        <v>2032</v>
      </c>
      <c r="K5" s="30" t="n">
        <f aca="false">Launch_Year+8</f>
        <v>2033</v>
      </c>
      <c r="L5" s="30" t="n">
        <f aca="false">Launch_Year+9</f>
        <v>2034</v>
      </c>
      <c r="M5" s="30" t="n">
        <f aca="false">Launch_Year+10</f>
        <v>2035</v>
      </c>
      <c r="N5" s="30" t="n">
        <f aca="false">Launch_Year+11</f>
        <v>2036</v>
      </c>
      <c r="O5" s="30" t="n">
        <f aca="false">Launch_Year+12</f>
        <v>2037</v>
      </c>
      <c r="P5" s="30" t="n">
        <f aca="false">Launch_Year+13</f>
        <v>2038</v>
      </c>
      <c r="Q5" s="30" t="n">
        <f aca="false">Launch_Year+14</f>
        <v>2039</v>
      </c>
      <c r="R5" s="30" t="n">
        <f aca="false">Launch_Year+15</f>
        <v>2040</v>
      </c>
      <c r="S5" s="30" t="n">
        <f aca="false">Launch_Year+16</f>
        <v>2041</v>
      </c>
      <c r="T5" s="30" t="n">
        <f aca="false">Launch_Year+17</f>
        <v>2042</v>
      </c>
      <c r="U5" s="30" t="n">
        <f aca="false">Launch_Year+18</f>
        <v>2043</v>
      </c>
      <c r="V5" s="30" t="n">
        <f aca="false">Launch_Year+19</f>
        <v>2044</v>
      </c>
      <c r="W5" s="30" t="n">
        <f aca="false">Launch_Year+20</f>
        <v>2045</v>
      </c>
      <c r="X5" s="30" t="n">
        <f aca="false">Launch_Year+21</f>
        <v>2046</v>
      </c>
      <c r="Y5" s="30" t="n">
        <f aca="false">Launch_Year+22</f>
        <v>2047</v>
      </c>
      <c r="Z5" s="30" t="n">
        <f aca="false">Launch_Year+23</f>
        <v>2048</v>
      </c>
      <c r="AA5" s="30" t="n">
        <f aca="false">Launch_Year+24</f>
        <v>2049</v>
      </c>
      <c r="AB5" s="30" t="n">
        <f aca="false">Launch_Year+25</f>
        <v>2050</v>
      </c>
      <c r="AC5" s="30" t="n">
        <f aca="false">Launch_Year+26</f>
        <v>2051</v>
      </c>
      <c r="AD5" s="30" t="n">
        <f aca="false">Launch_Year+27</f>
        <v>2052</v>
      </c>
      <c r="AE5" s="30" t="n">
        <f aca="false">Launch_Year+28</f>
        <v>2053</v>
      </c>
      <c r="AF5" s="30" t="n">
        <f aca="false">Launch_Year+29</f>
        <v>2054</v>
      </c>
    </row>
    <row r="6" customFormat="false" ht="15" hidden="false" customHeight="false" outlineLevel="0" collapsed="false">
      <c r="A6" s="6"/>
      <c r="B6" s="23" t="s">
        <v>201</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row>
    <row r="7" customFormat="false" ht="15" hidden="false" customHeight="false" outlineLevel="0" collapsed="false">
      <c r="A7" s="6"/>
      <c r="B7" s="10" t="s">
        <v>202</v>
      </c>
      <c r="C7" s="47" t="str">
        <f aca="false">IF(ABS(GP_Dom_Eq+GP_Intl_Eq+GP_Fixed_Inc+GP_TIPS+GP_Cash-1)&lt;0.001,"PASS","FAIL")</f>
        <v>PASS</v>
      </c>
      <c r="D7" s="47" t="str">
        <f aca="false">IF(ABS(GP_Dom_Eq+GP_Intl_Eq+GP_Fixed_Inc+GP_TIPS+GP_Cash-1)&lt;0.001,"PASS","FAIL")</f>
        <v>PASS</v>
      </c>
      <c r="E7" s="47" t="str">
        <f aca="false">IF(ABS(GP_Dom_Eq+GP_Intl_Eq+GP_Fixed_Inc+GP_TIPS+GP_Cash-1)&lt;0.001,"PASS","FAIL")</f>
        <v>PASS</v>
      </c>
      <c r="F7" s="47" t="str">
        <f aca="false">IF(ABS(GP_Dom_Eq+GP_Intl_Eq+GP_Fixed_Inc+GP_TIPS+GP_Cash-1)&lt;0.001,"PASS","FAIL")</f>
        <v>PASS</v>
      </c>
      <c r="G7" s="47" t="str">
        <f aca="false">IF(ABS(GP_Dom_Eq+GP_Intl_Eq+GP_Fixed_Inc+GP_TIPS+GP_Cash-1)&lt;0.001,"PASS","FAIL")</f>
        <v>PASS</v>
      </c>
      <c r="H7" s="47" t="str">
        <f aca="false">IF(ABS(GP_Dom_Eq+GP_Intl_Eq+GP_Fixed_Inc+GP_TIPS+GP_Cash-1)&lt;0.001,"PASS","FAIL")</f>
        <v>PASS</v>
      </c>
      <c r="I7" s="47" t="str">
        <f aca="false">IF(ABS(GP_Dom_Eq+GP_Intl_Eq+GP_Fixed_Inc+GP_TIPS+GP_Cash-1)&lt;0.001,"PASS","FAIL")</f>
        <v>PASS</v>
      </c>
      <c r="J7" s="47" t="str">
        <f aca="false">IF(ABS(GP_Dom_Eq+GP_Intl_Eq+GP_Fixed_Inc+GP_TIPS+GP_Cash-1)&lt;0.001,"PASS","FAIL")</f>
        <v>PASS</v>
      </c>
      <c r="K7" s="47" t="str">
        <f aca="false">IF(ABS(GP_Dom_Eq+GP_Intl_Eq+GP_Fixed_Inc+GP_TIPS+GP_Cash-1)&lt;0.001,"PASS","FAIL")</f>
        <v>PASS</v>
      </c>
      <c r="L7" s="47" t="str">
        <f aca="false">IF(ABS(GP_Dom_Eq+GP_Intl_Eq+GP_Fixed_Inc+GP_TIPS+GP_Cash-1)&lt;0.001,"PASS","FAIL")</f>
        <v>PASS</v>
      </c>
      <c r="M7" s="47" t="str">
        <f aca="false">IF(ABS(GP_Dom_Eq+GP_Intl_Eq+GP_Fixed_Inc+GP_TIPS+GP_Cash-1)&lt;0.001,"PASS","FAIL")</f>
        <v>PASS</v>
      </c>
      <c r="N7" s="47" t="str">
        <f aca="false">IF(ABS(GP_Dom_Eq+GP_Intl_Eq+GP_Fixed_Inc+GP_TIPS+GP_Cash-1)&lt;0.001,"PASS","FAIL")</f>
        <v>PASS</v>
      </c>
      <c r="O7" s="47" t="str">
        <f aca="false">IF(ABS(GP_Dom_Eq+GP_Intl_Eq+GP_Fixed_Inc+GP_TIPS+GP_Cash-1)&lt;0.001,"PASS","FAIL")</f>
        <v>PASS</v>
      </c>
      <c r="P7" s="47" t="str">
        <f aca="false">IF(ABS(GP_Dom_Eq+GP_Intl_Eq+GP_Fixed_Inc+GP_TIPS+GP_Cash-1)&lt;0.001,"PASS","FAIL")</f>
        <v>PASS</v>
      </c>
      <c r="Q7" s="47" t="str">
        <f aca="false">IF(ABS(GP_Dom_Eq+GP_Intl_Eq+GP_Fixed_Inc+GP_TIPS+GP_Cash-1)&lt;0.001,"PASS","FAIL")</f>
        <v>PASS</v>
      </c>
      <c r="R7" s="47" t="str">
        <f aca="false">IF(ABS(GP_Dom_Eq+GP_Intl_Eq+GP_Fixed_Inc+GP_TIPS+GP_Cash-1)&lt;0.001,"PASS","FAIL")</f>
        <v>PASS</v>
      </c>
      <c r="S7" s="47" t="str">
        <f aca="false">IF(ABS(GP_Dom_Eq+GP_Intl_Eq+GP_Fixed_Inc+GP_TIPS+GP_Cash-1)&lt;0.001,"PASS","FAIL")</f>
        <v>PASS</v>
      </c>
      <c r="T7" s="47" t="str">
        <f aca="false">IF(ABS(GP_Dom_Eq+GP_Intl_Eq+GP_Fixed_Inc+GP_TIPS+GP_Cash-1)&lt;0.001,"PASS","FAIL")</f>
        <v>PASS</v>
      </c>
      <c r="U7" s="47" t="str">
        <f aca="false">IF(ABS(GP_Dom_Eq+GP_Intl_Eq+GP_Fixed_Inc+GP_TIPS+GP_Cash-1)&lt;0.001,"PASS","FAIL")</f>
        <v>PASS</v>
      </c>
      <c r="V7" s="47" t="str">
        <f aca="false">IF(ABS(GP_Dom_Eq+GP_Intl_Eq+GP_Fixed_Inc+GP_TIPS+GP_Cash-1)&lt;0.001,"PASS","FAIL")</f>
        <v>PASS</v>
      </c>
      <c r="W7" s="47" t="str">
        <f aca="false">IF(ABS(GP_Dom_Eq+GP_Intl_Eq+GP_Fixed_Inc+GP_TIPS+GP_Cash-1)&lt;0.001,"PASS","FAIL")</f>
        <v>PASS</v>
      </c>
      <c r="X7" s="47" t="str">
        <f aca="false">IF(ABS(GP_Dom_Eq+GP_Intl_Eq+GP_Fixed_Inc+GP_TIPS+GP_Cash-1)&lt;0.001,"PASS","FAIL")</f>
        <v>PASS</v>
      </c>
      <c r="Y7" s="47" t="str">
        <f aca="false">IF(ABS(GP_Dom_Eq+GP_Intl_Eq+GP_Fixed_Inc+GP_TIPS+GP_Cash-1)&lt;0.001,"PASS","FAIL")</f>
        <v>PASS</v>
      </c>
      <c r="Z7" s="47" t="str">
        <f aca="false">IF(ABS(GP_Dom_Eq+GP_Intl_Eq+GP_Fixed_Inc+GP_TIPS+GP_Cash-1)&lt;0.001,"PASS","FAIL")</f>
        <v>PASS</v>
      </c>
      <c r="AA7" s="47" t="str">
        <f aca="false">IF(ABS(GP_Dom_Eq+GP_Intl_Eq+GP_Fixed_Inc+GP_TIPS+GP_Cash-1)&lt;0.001,"PASS","FAIL")</f>
        <v>PASS</v>
      </c>
      <c r="AB7" s="47" t="str">
        <f aca="false">IF(ABS(GP_Dom_Eq+GP_Intl_Eq+GP_Fixed_Inc+GP_TIPS+GP_Cash-1)&lt;0.001,"PASS","FAIL")</f>
        <v>PASS</v>
      </c>
      <c r="AC7" s="47" t="str">
        <f aca="false">IF(ABS(GP_Dom_Eq+GP_Intl_Eq+GP_Fixed_Inc+GP_TIPS+GP_Cash-1)&lt;0.001,"PASS","FAIL")</f>
        <v>PASS</v>
      </c>
      <c r="AD7" s="47" t="str">
        <f aca="false">IF(ABS(GP_Dom_Eq+GP_Intl_Eq+GP_Fixed_Inc+GP_TIPS+GP_Cash-1)&lt;0.001,"PASS","FAIL")</f>
        <v>PASS</v>
      </c>
      <c r="AE7" s="47" t="str">
        <f aca="false">IF(ABS(GP_Dom_Eq+GP_Intl_Eq+GP_Fixed_Inc+GP_TIPS+GP_Cash-1)&lt;0.001,"PASS","FAIL")</f>
        <v>PASS</v>
      </c>
      <c r="AF7" s="47" t="str">
        <f aca="false">IF(ABS(GP_Dom_Eq+GP_Intl_Eq+GP_Fixed_Inc+GP_TIPS+GP_Cash-1)&lt;0.001,"PASS","FAIL")</f>
        <v>PASS</v>
      </c>
    </row>
    <row r="8" customFormat="false" ht="15" hidden="false" customHeight="false" outlineLevel="0" collapsed="false">
      <c r="A8" s="6"/>
      <c r="B8" s="10" t="s">
        <v>203</v>
      </c>
      <c r="C8" s="47" t="str">
        <f aca="false">IF(ABS(AUM_Opening+AUM_Net_Flows+AUM_Mkt_Ret+AUM_Rebal-AUM_Closing)&lt;0.1,"PASS","FAIL")</f>
        <v>PASS</v>
      </c>
      <c r="D8" s="47" t="str">
        <f aca="false">IF(ABS(AUM_Opening+AUM_Net_Flows+AUM_Mkt_Ret+AUM_Rebal-AUM_Closing)&lt;0.1,"PASS","FAIL")</f>
        <v>PASS</v>
      </c>
      <c r="E8" s="47" t="str">
        <f aca="false">IF(ABS(AUM_Opening+AUM_Net_Flows+AUM_Mkt_Ret+AUM_Rebal-AUM_Closing)&lt;0.1,"PASS","FAIL")</f>
        <v>PASS</v>
      </c>
      <c r="F8" s="47" t="str">
        <f aca="false">IF(ABS(AUM_Opening+AUM_Net_Flows+AUM_Mkt_Ret+AUM_Rebal-AUM_Closing)&lt;0.1,"PASS","FAIL")</f>
        <v>PASS</v>
      </c>
      <c r="G8" s="47" t="str">
        <f aca="false">IF(ABS(AUM_Opening+AUM_Net_Flows+AUM_Mkt_Ret+AUM_Rebal-AUM_Closing)&lt;0.1,"PASS","FAIL")</f>
        <v>PASS</v>
      </c>
      <c r="H8" s="47" t="str">
        <f aca="false">IF(ABS(AUM_Opening+AUM_Net_Flows+AUM_Mkt_Ret+AUM_Rebal-AUM_Closing)&lt;0.1,"PASS","FAIL")</f>
        <v>PASS</v>
      </c>
      <c r="I8" s="47" t="str">
        <f aca="false">IF(ABS(AUM_Opening+AUM_Net_Flows+AUM_Mkt_Ret+AUM_Rebal-AUM_Closing)&lt;0.1,"PASS","FAIL")</f>
        <v>PASS</v>
      </c>
      <c r="J8" s="47" t="str">
        <f aca="false">IF(ABS(AUM_Opening+AUM_Net_Flows+AUM_Mkt_Ret+AUM_Rebal-AUM_Closing)&lt;0.1,"PASS","FAIL")</f>
        <v>PASS</v>
      </c>
      <c r="K8" s="47" t="str">
        <f aca="false">IF(ABS(AUM_Opening+AUM_Net_Flows+AUM_Mkt_Ret+AUM_Rebal-AUM_Closing)&lt;0.1,"PASS","FAIL")</f>
        <v>PASS</v>
      </c>
      <c r="L8" s="47" t="str">
        <f aca="false">IF(ABS(AUM_Opening+AUM_Net_Flows+AUM_Mkt_Ret+AUM_Rebal-AUM_Closing)&lt;0.1,"PASS","FAIL")</f>
        <v>PASS</v>
      </c>
      <c r="M8" s="47" t="str">
        <f aca="false">IF(ABS(AUM_Opening+AUM_Net_Flows+AUM_Mkt_Ret+AUM_Rebal-AUM_Closing)&lt;0.1,"PASS","FAIL")</f>
        <v>PASS</v>
      </c>
      <c r="N8" s="47" t="str">
        <f aca="false">IF(ABS(AUM_Opening+AUM_Net_Flows+AUM_Mkt_Ret+AUM_Rebal-AUM_Closing)&lt;0.1,"PASS","FAIL")</f>
        <v>PASS</v>
      </c>
      <c r="O8" s="47" t="str">
        <f aca="false">IF(ABS(AUM_Opening+AUM_Net_Flows+AUM_Mkt_Ret+AUM_Rebal-AUM_Closing)&lt;0.1,"PASS","FAIL")</f>
        <v>PASS</v>
      </c>
      <c r="P8" s="47" t="str">
        <f aca="false">IF(ABS(AUM_Opening+AUM_Net_Flows+AUM_Mkt_Ret+AUM_Rebal-AUM_Closing)&lt;0.1,"PASS","FAIL")</f>
        <v>PASS</v>
      </c>
      <c r="Q8" s="47" t="str">
        <f aca="false">IF(ABS(AUM_Opening+AUM_Net_Flows+AUM_Mkt_Ret+AUM_Rebal-AUM_Closing)&lt;0.1,"PASS","FAIL")</f>
        <v>PASS</v>
      </c>
      <c r="R8" s="47" t="str">
        <f aca="false">IF(ABS(AUM_Opening+AUM_Net_Flows+AUM_Mkt_Ret+AUM_Rebal-AUM_Closing)&lt;0.1,"PASS","FAIL")</f>
        <v>PASS</v>
      </c>
      <c r="S8" s="47" t="str">
        <f aca="false">IF(ABS(AUM_Opening+AUM_Net_Flows+AUM_Mkt_Ret+AUM_Rebal-AUM_Closing)&lt;0.1,"PASS","FAIL")</f>
        <v>PASS</v>
      </c>
      <c r="T8" s="47" t="str">
        <f aca="false">IF(ABS(AUM_Opening+AUM_Net_Flows+AUM_Mkt_Ret+AUM_Rebal-AUM_Closing)&lt;0.1,"PASS","FAIL")</f>
        <v>PASS</v>
      </c>
      <c r="U8" s="47" t="str">
        <f aca="false">IF(ABS(AUM_Opening+AUM_Net_Flows+AUM_Mkt_Ret+AUM_Rebal-AUM_Closing)&lt;0.1,"PASS","FAIL")</f>
        <v>PASS</v>
      </c>
      <c r="V8" s="47" t="str">
        <f aca="false">IF(ABS(AUM_Opening+AUM_Net_Flows+AUM_Mkt_Ret+AUM_Rebal-AUM_Closing)&lt;0.1,"PASS","FAIL")</f>
        <v>PASS</v>
      </c>
      <c r="W8" s="47" t="str">
        <f aca="false">IF(ABS(AUM_Opening+AUM_Net_Flows+AUM_Mkt_Ret+AUM_Rebal-AUM_Closing)&lt;0.1,"PASS","FAIL")</f>
        <v>PASS</v>
      </c>
      <c r="X8" s="47" t="str">
        <f aca="false">IF(ABS(AUM_Opening+AUM_Net_Flows+AUM_Mkt_Ret+AUM_Rebal-AUM_Closing)&lt;0.1,"PASS","FAIL")</f>
        <v>PASS</v>
      </c>
      <c r="Y8" s="47" t="str">
        <f aca="false">IF(ABS(AUM_Opening+AUM_Net_Flows+AUM_Mkt_Ret+AUM_Rebal-AUM_Closing)&lt;0.1,"PASS","FAIL")</f>
        <v>PASS</v>
      </c>
      <c r="Z8" s="47" t="str">
        <f aca="false">IF(ABS(AUM_Opening+AUM_Net_Flows+AUM_Mkt_Ret+AUM_Rebal-AUM_Closing)&lt;0.1,"PASS","FAIL")</f>
        <v>PASS</v>
      </c>
      <c r="AA8" s="47" t="str">
        <f aca="false">IF(ABS(AUM_Opening+AUM_Net_Flows+AUM_Mkt_Ret+AUM_Rebal-AUM_Closing)&lt;0.1,"PASS","FAIL")</f>
        <v>PASS</v>
      </c>
      <c r="AB8" s="47" t="str">
        <f aca="false">IF(ABS(AUM_Opening+AUM_Net_Flows+AUM_Mkt_Ret+AUM_Rebal-AUM_Closing)&lt;0.1,"PASS","FAIL")</f>
        <v>PASS</v>
      </c>
      <c r="AC8" s="47" t="str">
        <f aca="false">IF(ABS(AUM_Opening+AUM_Net_Flows+AUM_Mkt_Ret+AUM_Rebal-AUM_Closing)&lt;0.1,"PASS","FAIL")</f>
        <v>PASS</v>
      </c>
      <c r="AD8" s="47" t="str">
        <f aca="false">IF(ABS(AUM_Opening+AUM_Net_Flows+AUM_Mkt_Ret+AUM_Rebal-AUM_Closing)&lt;0.1,"PASS","FAIL")</f>
        <v>PASS</v>
      </c>
      <c r="AE8" s="47" t="str">
        <f aca="false">IF(ABS(AUM_Opening+AUM_Net_Flows+AUM_Mkt_Ret+AUM_Rebal-AUM_Closing)&lt;0.1,"PASS","FAIL")</f>
        <v>PASS</v>
      </c>
      <c r="AF8" s="47" t="str">
        <f aca="false">IF(ABS(AUM_Opening+AUM_Net_Flows+AUM_Mkt_Ret+AUM_Rebal-AUM_Closing)&lt;0.1,"PASS","FAIL")</f>
        <v>PASS</v>
      </c>
    </row>
    <row r="9" customFormat="false" ht="15" hidden="false" customHeight="false" outlineLevel="0" collapsed="false">
      <c r="A9" s="6"/>
      <c r="B9" s="10" t="s">
        <v>204</v>
      </c>
      <c r="C9" s="47" t="str">
        <f aca="false">IF(ABS(BS_Check)&lt;0.001,"PASS","FAIL")</f>
        <v>FAIL</v>
      </c>
      <c r="D9" s="47" t="str">
        <f aca="false">IF(ABS(BS_Check)&lt;0.001,"PASS","FAIL")</f>
        <v>FAIL</v>
      </c>
      <c r="E9" s="47" t="str">
        <f aca="false">IF(ABS(BS_Check)&lt;0.001,"PASS","FAIL")</f>
        <v>FAIL</v>
      </c>
      <c r="F9" s="47" t="str">
        <f aca="false">IF(ABS(BS_Check)&lt;0.001,"PASS","FAIL")</f>
        <v>FAIL</v>
      </c>
      <c r="G9" s="47" t="str">
        <f aca="false">IF(ABS(BS_Check)&lt;0.001,"PASS","FAIL")</f>
        <v>FAIL</v>
      </c>
      <c r="H9" s="47" t="str">
        <f aca="false">IF(ABS(BS_Check)&lt;0.001,"PASS","FAIL")</f>
        <v>FAIL</v>
      </c>
      <c r="I9" s="47" t="str">
        <f aca="false">IF(ABS(BS_Check)&lt;0.001,"PASS","FAIL")</f>
        <v>FAIL</v>
      </c>
      <c r="J9" s="47" t="str">
        <f aca="false">IF(ABS(BS_Check)&lt;0.001,"PASS","FAIL")</f>
        <v>FAIL</v>
      </c>
      <c r="K9" s="47" t="str">
        <f aca="false">IF(ABS(BS_Check)&lt;0.001,"PASS","FAIL")</f>
        <v>FAIL</v>
      </c>
      <c r="L9" s="47" t="str">
        <f aca="false">IF(ABS(BS_Check)&lt;0.001,"PASS","FAIL")</f>
        <v>FAIL</v>
      </c>
      <c r="M9" s="47" t="str">
        <f aca="false">IF(ABS(BS_Check)&lt;0.001,"PASS","FAIL")</f>
        <v>FAIL</v>
      </c>
      <c r="N9" s="47" t="str">
        <f aca="false">IF(ABS(BS_Check)&lt;0.001,"PASS","FAIL")</f>
        <v>FAIL</v>
      </c>
      <c r="O9" s="47" t="str">
        <f aca="false">IF(ABS(BS_Check)&lt;0.001,"PASS","FAIL")</f>
        <v>FAIL</v>
      </c>
      <c r="P9" s="47" t="str">
        <f aca="false">IF(ABS(BS_Check)&lt;0.001,"PASS","FAIL")</f>
        <v>FAIL</v>
      </c>
      <c r="Q9" s="47" t="str">
        <f aca="false">IF(ABS(BS_Check)&lt;0.001,"PASS","FAIL")</f>
        <v>FAIL</v>
      </c>
      <c r="R9" s="47" t="str">
        <f aca="false">IF(ABS(BS_Check)&lt;0.001,"PASS","FAIL")</f>
        <v>FAIL</v>
      </c>
      <c r="S9" s="47" t="str">
        <f aca="false">IF(ABS(BS_Check)&lt;0.001,"PASS","FAIL")</f>
        <v>FAIL</v>
      </c>
      <c r="T9" s="47" t="str">
        <f aca="false">IF(ABS(BS_Check)&lt;0.001,"PASS","FAIL")</f>
        <v>FAIL</v>
      </c>
      <c r="U9" s="47" t="str">
        <f aca="false">IF(ABS(BS_Check)&lt;0.001,"PASS","FAIL")</f>
        <v>FAIL</v>
      </c>
      <c r="V9" s="47" t="str">
        <f aca="false">IF(ABS(BS_Check)&lt;0.001,"PASS","FAIL")</f>
        <v>FAIL</v>
      </c>
      <c r="W9" s="47" t="str">
        <f aca="false">IF(ABS(BS_Check)&lt;0.001,"PASS","FAIL")</f>
        <v>FAIL</v>
      </c>
      <c r="X9" s="47" t="str">
        <f aca="false">IF(ABS(BS_Check)&lt;0.001,"PASS","FAIL")</f>
        <v>FAIL</v>
      </c>
      <c r="Y9" s="47" t="str">
        <f aca="false">IF(ABS(BS_Check)&lt;0.001,"PASS","FAIL")</f>
        <v>FAIL</v>
      </c>
      <c r="Z9" s="47" t="str">
        <f aca="false">IF(ABS(BS_Check)&lt;0.001,"PASS","FAIL")</f>
        <v>FAIL</v>
      </c>
      <c r="AA9" s="47" t="str">
        <f aca="false">IF(ABS(BS_Check)&lt;0.001,"PASS","FAIL")</f>
        <v>FAIL</v>
      </c>
      <c r="AB9" s="47" t="str">
        <f aca="false">IF(ABS(BS_Check)&lt;0.001,"PASS","FAIL")</f>
        <v>FAIL</v>
      </c>
      <c r="AC9" s="47" t="str">
        <f aca="false">IF(ABS(BS_Check)&lt;0.001,"PASS","FAIL")</f>
        <v>FAIL</v>
      </c>
      <c r="AD9" s="47" t="str">
        <f aca="false">IF(ABS(BS_Check)&lt;0.001,"PASS","FAIL")</f>
        <v>FAIL</v>
      </c>
      <c r="AE9" s="47" t="str">
        <f aca="false">IF(ABS(BS_Check)&lt;0.001,"PASS","FAIL")</f>
        <v>FAIL</v>
      </c>
      <c r="AF9" s="47" t="str">
        <f aca="false">IF(ABS(BS_Check)&lt;0.001,"PASS","FAIL")</f>
        <v>FAIL</v>
      </c>
    </row>
    <row r="10" customFormat="false" ht="15" hidden="false" customHeight="false" outlineLevel="0" collapsed="false">
      <c r="A10" s="6"/>
      <c r="B10" s="10" t="s">
        <v>205</v>
      </c>
      <c r="C10" s="47" t="str">
        <f aca="false">IF(ABS(Rev_Mgmt_Fee-AUM_Average*Mgmt_Fee_Bps/10000)&lt;0.1,"PASS","FAIL")</f>
        <v>PASS</v>
      </c>
      <c r="D10" s="47" t="str">
        <f aca="false">IF(ABS(Rev_Mgmt_Fee-AUM_Average*Mgmt_Fee_Bps/10000)&lt;0.1,"PASS","FAIL")</f>
        <v>PASS</v>
      </c>
      <c r="E10" s="47" t="str">
        <f aca="false">IF(ABS(Rev_Mgmt_Fee-AUM_Average*Mgmt_Fee_Bps/10000)&lt;0.1,"PASS","FAIL")</f>
        <v>PASS</v>
      </c>
      <c r="F10" s="47" t="str">
        <f aca="false">IF(ABS(Rev_Mgmt_Fee-AUM_Average*Mgmt_Fee_Bps/10000)&lt;0.1,"PASS","FAIL")</f>
        <v>PASS</v>
      </c>
      <c r="G10" s="47" t="str">
        <f aca="false">IF(ABS(Rev_Mgmt_Fee-AUM_Average*Mgmt_Fee_Bps/10000)&lt;0.1,"PASS","FAIL")</f>
        <v>PASS</v>
      </c>
      <c r="H10" s="47" t="str">
        <f aca="false">IF(ABS(Rev_Mgmt_Fee-AUM_Average*Mgmt_Fee_Bps/10000)&lt;0.1,"PASS","FAIL")</f>
        <v>PASS</v>
      </c>
      <c r="I10" s="47" t="str">
        <f aca="false">IF(ABS(Rev_Mgmt_Fee-AUM_Average*Mgmt_Fee_Bps/10000)&lt;0.1,"PASS","FAIL")</f>
        <v>PASS</v>
      </c>
      <c r="J10" s="47" t="str">
        <f aca="false">IF(ABS(Rev_Mgmt_Fee-AUM_Average*Mgmt_Fee_Bps/10000)&lt;0.1,"PASS","FAIL")</f>
        <v>PASS</v>
      </c>
      <c r="K10" s="47" t="str">
        <f aca="false">IF(ABS(Rev_Mgmt_Fee-AUM_Average*Mgmt_Fee_Bps/10000)&lt;0.1,"PASS","FAIL")</f>
        <v>PASS</v>
      </c>
      <c r="L10" s="47" t="str">
        <f aca="false">IF(ABS(Rev_Mgmt_Fee-AUM_Average*Mgmt_Fee_Bps/10000)&lt;0.1,"PASS","FAIL")</f>
        <v>PASS</v>
      </c>
      <c r="M10" s="47" t="str">
        <f aca="false">IF(ABS(Rev_Mgmt_Fee-AUM_Average*Mgmt_Fee_Bps/10000)&lt;0.1,"PASS","FAIL")</f>
        <v>PASS</v>
      </c>
      <c r="N10" s="47" t="str">
        <f aca="false">IF(ABS(Rev_Mgmt_Fee-AUM_Average*Mgmt_Fee_Bps/10000)&lt;0.1,"PASS","FAIL")</f>
        <v>PASS</v>
      </c>
      <c r="O10" s="47" t="str">
        <f aca="false">IF(ABS(Rev_Mgmt_Fee-AUM_Average*Mgmt_Fee_Bps/10000)&lt;0.1,"PASS","FAIL")</f>
        <v>PASS</v>
      </c>
      <c r="P10" s="47" t="str">
        <f aca="false">IF(ABS(Rev_Mgmt_Fee-AUM_Average*Mgmt_Fee_Bps/10000)&lt;0.1,"PASS","FAIL")</f>
        <v>PASS</v>
      </c>
      <c r="Q10" s="47" t="str">
        <f aca="false">IF(ABS(Rev_Mgmt_Fee-AUM_Average*Mgmt_Fee_Bps/10000)&lt;0.1,"PASS","FAIL")</f>
        <v>PASS</v>
      </c>
      <c r="R10" s="47" t="str">
        <f aca="false">IF(ABS(Rev_Mgmt_Fee-AUM_Average*Mgmt_Fee_Bps/10000)&lt;0.1,"PASS","FAIL")</f>
        <v>PASS</v>
      </c>
      <c r="S10" s="47" t="str">
        <f aca="false">IF(ABS(Rev_Mgmt_Fee-AUM_Average*Mgmt_Fee_Bps/10000)&lt;0.1,"PASS","FAIL")</f>
        <v>PASS</v>
      </c>
      <c r="T10" s="47" t="str">
        <f aca="false">IF(ABS(Rev_Mgmt_Fee-AUM_Average*Mgmt_Fee_Bps/10000)&lt;0.1,"PASS","FAIL")</f>
        <v>PASS</v>
      </c>
      <c r="U10" s="47" t="str">
        <f aca="false">IF(ABS(Rev_Mgmt_Fee-AUM_Average*Mgmt_Fee_Bps/10000)&lt;0.1,"PASS","FAIL")</f>
        <v>PASS</v>
      </c>
      <c r="V10" s="47" t="str">
        <f aca="false">IF(ABS(Rev_Mgmt_Fee-AUM_Average*Mgmt_Fee_Bps/10000)&lt;0.1,"PASS","FAIL")</f>
        <v>PASS</v>
      </c>
      <c r="W10" s="47" t="str">
        <f aca="false">IF(ABS(Rev_Mgmt_Fee-AUM_Average*Mgmt_Fee_Bps/10000)&lt;0.1,"PASS","FAIL")</f>
        <v>PASS</v>
      </c>
      <c r="X10" s="47" t="str">
        <f aca="false">IF(ABS(Rev_Mgmt_Fee-AUM_Average*Mgmt_Fee_Bps/10000)&lt;0.1,"PASS","FAIL")</f>
        <v>PASS</v>
      </c>
      <c r="Y10" s="47" t="str">
        <f aca="false">IF(ABS(Rev_Mgmt_Fee-AUM_Average*Mgmt_Fee_Bps/10000)&lt;0.1,"PASS","FAIL")</f>
        <v>PASS</v>
      </c>
      <c r="Z10" s="47" t="str">
        <f aca="false">IF(ABS(Rev_Mgmt_Fee-AUM_Average*Mgmt_Fee_Bps/10000)&lt;0.1,"PASS","FAIL")</f>
        <v>PASS</v>
      </c>
      <c r="AA10" s="47" t="str">
        <f aca="false">IF(ABS(Rev_Mgmt_Fee-AUM_Average*Mgmt_Fee_Bps/10000)&lt;0.1,"PASS","FAIL")</f>
        <v>PASS</v>
      </c>
      <c r="AB10" s="47" t="str">
        <f aca="false">IF(ABS(Rev_Mgmt_Fee-AUM_Average*Mgmt_Fee_Bps/10000)&lt;0.1,"PASS","FAIL")</f>
        <v>PASS</v>
      </c>
      <c r="AC10" s="47" t="str">
        <f aca="false">IF(ABS(Rev_Mgmt_Fee-AUM_Average*Mgmt_Fee_Bps/10000)&lt;0.1,"PASS","FAIL")</f>
        <v>PASS</v>
      </c>
      <c r="AD10" s="47" t="str">
        <f aca="false">IF(ABS(Rev_Mgmt_Fee-AUM_Average*Mgmt_Fee_Bps/10000)&lt;0.1,"PASS","FAIL")</f>
        <v>PASS</v>
      </c>
      <c r="AE10" s="47" t="str">
        <f aca="false">IF(ABS(Rev_Mgmt_Fee-AUM_Average*Mgmt_Fee_Bps/10000)&lt;0.1,"PASS","FAIL")</f>
        <v>PASS</v>
      </c>
      <c r="AF10" s="47" t="str">
        <f aca="false">IF(ABS(Rev_Mgmt_Fee-AUM_Average*Mgmt_Fee_Bps/10000)&lt;0.1,"PASS","FAIL")</f>
        <v>PASS</v>
      </c>
    </row>
    <row r="11" customFormat="false" ht="15" hidden="false" customHeight="false" outlineLevel="0" collapsed="false">
      <c r="A11" s="6"/>
      <c r="B11" s="10" t="s">
        <v>206</v>
      </c>
      <c r="C11" s="47" t="str">
        <f aca="false">IF(CF_Closing&gt;=0,"PASS","WARN")</f>
        <v>WARN</v>
      </c>
      <c r="D11" s="47" t="str">
        <f aca="false">IF(CF_Closing&gt;=0,"PASS","WARN")</f>
        <v>WARN</v>
      </c>
      <c r="E11" s="47" t="str">
        <f aca="false">IF(CF_Closing&gt;=0,"PASS","WARN")</f>
        <v>WARN</v>
      </c>
      <c r="F11" s="47" t="str">
        <f aca="false">IF(CF_Closing&gt;=0,"PASS","WARN")</f>
        <v>WARN</v>
      </c>
      <c r="G11" s="47" t="str">
        <f aca="false">IF(CF_Closing&gt;=0,"PASS","WARN")</f>
        <v>WARN</v>
      </c>
      <c r="H11" s="47" t="str">
        <f aca="false">IF(CF_Closing&gt;=0,"PASS","WARN")</f>
        <v>WARN</v>
      </c>
      <c r="I11" s="47" t="str">
        <f aca="false">IF(CF_Closing&gt;=0,"PASS","WARN")</f>
        <v>WARN</v>
      </c>
      <c r="J11" s="47" t="str">
        <f aca="false">IF(CF_Closing&gt;=0,"PASS","WARN")</f>
        <v>WARN</v>
      </c>
      <c r="K11" s="47" t="str">
        <f aca="false">IF(CF_Closing&gt;=0,"PASS","WARN")</f>
        <v>WARN</v>
      </c>
      <c r="L11" s="47" t="str">
        <f aca="false">IF(CF_Closing&gt;=0,"PASS","WARN")</f>
        <v>WARN</v>
      </c>
      <c r="M11" s="47" t="str">
        <f aca="false">IF(CF_Closing&gt;=0,"PASS","WARN")</f>
        <v>WARN</v>
      </c>
      <c r="N11" s="47" t="str">
        <f aca="false">IF(CF_Closing&gt;=0,"PASS","WARN")</f>
        <v>WARN</v>
      </c>
      <c r="O11" s="47" t="str">
        <f aca="false">IF(CF_Closing&gt;=0,"PASS","WARN")</f>
        <v>WARN</v>
      </c>
      <c r="P11" s="47" t="str">
        <f aca="false">IF(CF_Closing&gt;=0,"PASS","WARN")</f>
        <v>WARN</v>
      </c>
      <c r="Q11" s="47" t="str">
        <f aca="false">IF(CF_Closing&gt;=0,"PASS","WARN")</f>
        <v>WARN</v>
      </c>
      <c r="R11" s="47" t="str">
        <f aca="false">IF(CF_Closing&gt;=0,"PASS","WARN")</f>
        <v>WARN</v>
      </c>
      <c r="S11" s="47" t="str">
        <f aca="false">IF(CF_Closing&gt;=0,"PASS","WARN")</f>
        <v>WARN</v>
      </c>
      <c r="T11" s="47" t="str">
        <f aca="false">IF(CF_Closing&gt;=0,"PASS","WARN")</f>
        <v>WARN</v>
      </c>
      <c r="U11" s="47" t="str">
        <f aca="false">IF(CF_Closing&gt;=0,"PASS","WARN")</f>
        <v>WARN</v>
      </c>
      <c r="V11" s="47" t="str">
        <f aca="false">IF(CF_Closing&gt;=0,"PASS","WARN")</f>
        <v>WARN</v>
      </c>
      <c r="W11" s="47" t="str">
        <f aca="false">IF(CF_Closing&gt;=0,"PASS","WARN")</f>
        <v>WARN</v>
      </c>
      <c r="X11" s="47" t="str">
        <f aca="false">IF(CF_Closing&gt;=0,"PASS","WARN")</f>
        <v>WARN</v>
      </c>
      <c r="Y11" s="47" t="str">
        <f aca="false">IF(CF_Closing&gt;=0,"PASS","WARN")</f>
        <v>WARN</v>
      </c>
      <c r="Z11" s="47" t="str">
        <f aca="false">IF(CF_Closing&gt;=0,"PASS","WARN")</f>
        <v>WARN</v>
      </c>
      <c r="AA11" s="47" t="str">
        <f aca="false">IF(CF_Closing&gt;=0,"PASS","WARN")</f>
        <v>PASS</v>
      </c>
      <c r="AB11" s="47" t="str">
        <f aca="false">IF(CF_Closing&gt;=0,"PASS","WARN")</f>
        <v>PASS</v>
      </c>
      <c r="AC11" s="47" t="str">
        <f aca="false">IF(CF_Closing&gt;=0,"PASS","WARN")</f>
        <v>PASS</v>
      </c>
      <c r="AD11" s="47" t="str">
        <f aca="false">IF(CF_Closing&gt;=0,"PASS","WARN")</f>
        <v>PASS</v>
      </c>
      <c r="AE11" s="47" t="str">
        <f aca="false">IF(CF_Closing&gt;=0,"PASS","WARN")</f>
        <v>PASS</v>
      </c>
      <c r="AF11" s="47" t="str">
        <f aca="false">IF(CF_Closing&gt;=0,"PASS","WARN")</f>
        <v>PASS</v>
      </c>
    </row>
    <row r="12" customFormat="false" ht="15" hidden="false" customHeight="false" outlineLevel="0" collapsed="false">
      <c r="A12" s="6"/>
      <c r="B12" s="10" t="s">
        <v>207</v>
      </c>
      <c r="C12" s="47" t="str">
        <f aca="false">IF(AND(IFERROR(IS_EBITDA/IS_Net_Revenue,0)&gt;=-0.5,IFERROR(IS_EBITDA/IS_Net_Revenue,0)&lt;=0.6),"PASS","WARN")</f>
        <v>WARN</v>
      </c>
      <c r="D12" s="47" t="str">
        <f aca="false">IF(AND(IFERROR(IS_EBITDA/IS_Net_Revenue,0)&gt;=-0.5,IFERROR(IS_EBITDA/IS_Net_Revenue,0)&lt;=0.6),"PASS","WARN")</f>
        <v>WARN</v>
      </c>
      <c r="E12" s="47" t="str">
        <f aca="false">IF(AND(IFERROR(IS_EBITDA/IS_Net_Revenue,0)&gt;=-0.5,IFERROR(IS_EBITDA/IS_Net_Revenue,0)&lt;=0.6),"PASS","WARN")</f>
        <v>WARN</v>
      </c>
      <c r="F12" s="47" t="str">
        <f aca="false">IF(AND(IFERROR(IS_EBITDA/IS_Net_Revenue,0)&gt;=-0.5,IFERROR(IS_EBITDA/IS_Net_Revenue,0)&lt;=0.6),"PASS","WARN")</f>
        <v>WARN</v>
      </c>
      <c r="G12" s="47" t="str">
        <f aca="false">IF(AND(IFERROR(IS_EBITDA/IS_Net_Revenue,0)&gt;=-0.5,IFERROR(IS_EBITDA/IS_Net_Revenue,0)&lt;=0.6),"PASS","WARN")</f>
        <v>WARN</v>
      </c>
      <c r="H12" s="47" t="str">
        <f aca="false">IF(AND(IFERROR(IS_EBITDA/IS_Net_Revenue,0)&gt;=-0.5,IFERROR(IS_EBITDA/IS_Net_Revenue,0)&lt;=0.6),"PASS","WARN")</f>
        <v>WARN</v>
      </c>
      <c r="I12" s="47" t="str">
        <f aca="false">IF(AND(IFERROR(IS_EBITDA/IS_Net_Revenue,0)&gt;=-0.5,IFERROR(IS_EBITDA/IS_Net_Revenue,0)&lt;=0.6),"PASS","WARN")</f>
        <v>WARN</v>
      </c>
      <c r="J12" s="47" t="str">
        <f aca="false">IF(AND(IFERROR(IS_EBITDA/IS_Net_Revenue,0)&gt;=-0.5,IFERROR(IS_EBITDA/IS_Net_Revenue,0)&lt;=0.6),"PASS","WARN")</f>
        <v>WARN</v>
      </c>
      <c r="K12" s="47" t="str">
        <f aca="false">IF(AND(IFERROR(IS_EBITDA/IS_Net_Revenue,0)&gt;=-0.5,IFERROR(IS_EBITDA/IS_Net_Revenue,0)&lt;=0.6),"PASS","WARN")</f>
        <v>PASS</v>
      </c>
      <c r="L12" s="47" t="str">
        <f aca="false">IF(AND(IFERROR(IS_EBITDA/IS_Net_Revenue,0)&gt;=-0.5,IFERROR(IS_EBITDA/IS_Net_Revenue,0)&lt;=0.6),"PASS","WARN")</f>
        <v>PASS</v>
      </c>
      <c r="M12" s="47" t="str">
        <f aca="false">IF(AND(IFERROR(IS_EBITDA/IS_Net_Revenue,0)&gt;=-0.5,IFERROR(IS_EBITDA/IS_Net_Revenue,0)&lt;=0.6),"PASS","WARN")</f>
        <v>PASS</v>
      </c>
      <c r="N12" s="47" t="str">
        <f aca="false">IF(AND(IFERROR(IS_EBITDA/IS_Net_Revenue,0)&gt;=-0.5,IFERROR(IS_EBITDA/IS_Net_Revenue,0)&lt;=0.6),"PASS","WARN")</f>
        <v>PASS</v>
      </c>
      <c r="O12" s="47" t="str">
        <f aca="false">IF(AND(IFERROR(IS_EBITDA/IS_Net_Revenue,0)&gt;=-0.5,IFERROR(IS_EBITDA/IS_Net_Revenue,0)&lt;=0.6),"PASS","WARN")</f>
        <v>PASS</v>
      </c>
      <c r="P12" s="47" t="str">
        <f aca="false">IF(AND(IFERROR(IS_EBITDA/IS_Net_Revenue,0)&gt;=-0.5,IFERROR(IS_EBITDA/IS_Net_Revenue,0)&lt;=0.6),"PASS","WARN")</f>
        <v>PASS</v>
      </c>
      <c r="Q12" s="47" t="str">
        <f aca="false">IF(AND(IFERROR(IS_EBITDA/IS_Net_Revenue,0)&gt;=-0.5,IFERROR(IS_EBITDA/IS_Net_Revenue,0)&lt;=0.6),"PASS","WARN")</f>
        <v>PASS</v>
      </c>
      <c r="R12" s="47" t="str">
        <f aca="false">IF(AND(IFERROR(IS_EBITDA/IS_Net_Revenue,0)&gt;=-0.5,IFERROR(IS_EBITDA/IS_Net_Revenue,0)&lt;=0.6),"PASS","WARN")</f>
        <v>PASS</v>
      </c>
      <c r="S12" s="47" t="str">
        <f aca="false">IF(AND(IFERROR(IS_EBITDA/IS_Net_Revenue,0)&gt;=-0.5,IFERROR(IS_EBITDA/IS_Net_Revenue,0)&lt;=0.6),"PASS","WARN")</f>
        <v>PASS</v>
      </c>
      <c r="T12" s="47" t="str">
        <f aca="false">IF(AND(IFERROR(IS_EBITDA/IS_Net_Revenue,0)&gt;=-0.5,IFERROR(IS_EBITDA/IS_Net_Revenue,0)&lt;=0.6),"PASS","WARN")</f>
        <v>PASS</v>
      </c>
      <c r="U12" s="47" t="str">
        <f aca="false">IF(AND(IFERROR(IS_EBITDA/IS_Net_Revenue,0)&gt;=-0.5,IFERROR(IS_EBITDA/IS_Net_Revenue,0)&lt;=0.6),"PASS","WARN")</f>
        <v>PASS</v>
      </c>
      <c r="V12" s="47" t="str">
        <f aca="false">IF(AND(IFERROR(IS_EBITDA/IS_Net_Revenue,0)&gt;=-0.5,IFERROR(IS_EBITDA/IS_Net_Revenue,0)&lt;=0.6),"PASS","WARN")</f>
        <v>PASS</v>
      </c>
      <c r="W12" s="47" t="str">
        <f aca="false">IF(AND(IFERROR(IS_EBITDA/IS_Net_Revenue,0)&gt;=-0.5,IFERROR(IS_EBITDA/IS_Net_Revenue,0)&lt;=0.6),"PASS","WARN")</f>
        <v>PASS</v>
      </c>
      <c r="X12" s="47" t="str">
        <f aca="false">IF(AND(IFERROR(IS_EBITDA/IS_Net_Revenue,0)&gt;=-0.5,IFERROR(IS_EBITDA/IS_Net_Revenue,0)&lt;=0.6),"PASS","WARN")</f>
        <v>PASS</v>
      </c>
      <c r="Y12" s="47" t="str">
        <f aca="false">IF(AND(IFERROR(IS_EBITDA/IS_Net_Revenue,0)&gt;=-0.5,IFERROR(IS_EBITDA/IS_Net_Revenue,0)&lt;=0.6),"PASS","WARN")</f>
        <v>PASS</v>
      </c>
      <c r="Z12" s="47" t="str">
        <f aca="false">IF(AND(IFERROR(IS_EBITDA/IS_Net_Revenue,0)&gt;=-0.5,IFERROR(IS_EBITDA/IS_Net_Revenue,0)&lt;=0.6),"PASS","WARN")</f>
        <v>PASS</v>
      </c>
      <c r="AA12" s="47" t="str">
        <f aca="false">IF(AND(IFERROR(IS_EBITDA/IS_Net_Revenue,0)&gt;=-0.5,IFERROR(IS_EBITDA/IS_Net_Revenue,0)&lt;=0.6),"PASS","WARN")</f>
        <v>PASS</v>
      </c>
      <c r="AB12" s="47" t="str">
        <f aca="false">IF(AND(IFERROR(IS_EBITDA/IS_Net_Revenue,0)&gt;=-0.5,IFERROR(IS_EBITDA/IS_Net_Revenue,0)&lt;=0.6),"PASS","WARN")</f>
        <v>PASS</v>
      </c>
      <c r="AC12" s="47" t="str">
        <f aca="false">IF(AND(IFERROR(IS_EBITDA/IS_Net_Revenue,0)&gt;=-0.5,IFERROR(IS_EBITDA/IS_Net_Revenue,0)&lt;=0.6),"PASS","WARN")</f>
        <v>WARN</v>
      </c>
      <c r="AD12" s="47" t="str">
        <f aca="false">IF(AND(IFERROR(IS_EBITDA/IS_Net_Revenue,0)&gt;=-0.5,IFERROR(IS_EBITDA/IS_Net_Revenue,0)&lt;=0.6),"PASS","WARN")</f>
        <v>WARN</v>
      </c>
      <c r="AE12" s="47" t="str">
        <f aca="false">IF(AND(IFERROR(IS_EBITDA/IS_Net_Revenue,0)&gt;=-0.5,IFERROR(IS_EBITDA/IS_Net_Revenue,0)&lt;=0.6),"PASS","WARN")</f>
        <v>WARN</v>
      </c>
      <c r="AF12" s="47" t="str">
        <f aca="false">IF(AND(IFERROR(IS_EBITDA/IS_Net_Revenue,0)&gt;=-0.5,IFERROR(IS_EBITDA/IS_Net_Revenue,0)&lt;=0.6),"PASS","WARN")</f>
        <v>WARN</v>
      </c>
    </row>
    <row r="13" customFormat="false" ht="15" hidden="false" customHeight="false" outlineLevel="0" collapsed="false">
      <c r="A13" s="6"/>
      <c r="B13" s="10" t="s">
        <v>208</v>
      </c>
      <c r="C13" s="47" t="str">
        <f aca="false">IF(GP_Dom_Eq*Ret_Dom_Eq+GP_Intl_Eq*Ret_Intl_Eq+GP_Fixed_Inc*Ret_Fixed_Inc+GP_TIPS*Ret_TIPS+GP_Cash*Ret_Cash&gt;(GP_Dom_Eq*Ret_Dom_Eq+GP_Intl_Eq*Ret_Intl_Eq+GP_Fixed_Inc*Ret_Fixed_Inc+GP_TIPS*Ret_TIPS+GP_Cash*Ret_Cash-(Mgmt_Fee_Bps+Admin_Fee_Bps)/10000)+0.0001,"PASS","FAIL")</f>
        <v>PASS</v>
      </c>
      <c r="D13" s="47" t="str">
        <f aca="false">IF(GP_Dom_Eq*Ret_Dom_Eq+GP_Intl_Eq*Ret_Intl_Eq+GP_Fixed_Inc*Ret_Fixed_Inc+GP_TIPS*Ret_TIPS+GP_Cash*Ret_Cash&gt;(GP_Dom_Eq*Ret_Dom_Eq+GP_Intl_Eq*Ret_Intl_Eq+GP_Fixed_Inc*Ret_Fixed_Inc+GP_TIPS*Ret_TIPS+GP_Cash*Ret_Cash-(Mgmt_Fee_Bps+Admin_Fee_Bps)/10000)+0.0001,"PASS","FAIL")</f>
        <v>PASS</v>
      </c>
      <c r="E13" s="47" t="str">
        <f aca="false">IF(GP_Dom_Eq*Ret_Dom_Eq+GP_Intl_Eq*Ret_Intl_Eq+GP_Fixed_Inc*Ret_Fixed_Inc+GP_TIPS*Ret_TIPS+GP_Cash*Ret_Cash&gt;(GP_Dom_Eq*Ret_Dom_Eq+GP_Intl_Eq*Ret_Intl_Eq+GP_Fixed_Inc*Ret_Fixed_Inc+GP_TIPS*Ret_TIPS+GP_Cash*Ret_Cash-(Mgmt_Fee_Bps+Admin_Fee_Bps)/10000)+0.0001,"PASS","FAIL")</f>
        <v>PASS</v>
      </c>
      <c r="F13" s="47" t="str">
        <f aca="false">IF(GP_Dom_Eq*Ret_Dom_Eq+GP_Intl_Eq*Ret_Intl_Eq+GP_Fixed_Inc*Ret_Fixed_Inc+GP_TIPS*Ret_TIPS+GP_Cash*Ret_Cash&gt;(GP_Dom_Eq*Ret_Dom_Eq+GP_Intl_Eq*Ret_Intl_Eq+GP_Fixed_Inc*Ret_Fixed_Inc+GP_TIPS*Ret_TIPS+GP_Cash*Ret_Cash-(Mgmt_Fee_Bps+Admin_Fee_Bps)/10000)+0.0001,"PASS","FAIL")</f>
        <v>PASS</v>
      </c>
      <c r="G13" s="47" t="str">
        <f aca="false">IF(GP_Dom_Eq*Ret_Dom_Eq+GP_Intl_Eq*Ret_Intl_Eq+GP_Fixed_Inc*Ret_Fixed_Inc+GP_TIPS*Ret_TIPS+GP_Cash*Ret_Cash&gt;(GP_Dom_Eq*Ret_Dom_Eq+GP_Intl_Eq*Ret_Intl_Eq+GP_Fixed_Inc*Ret_Fixed_Inc+GP_TIPS*Ret_TIPS+GP_Cash*Ret_Cash-(Mgmt_Fee_Bps+Admin_Fee_Bps)/10000)+0.0001,"PASS","FAIL")</f>
        <v>PASS</v>
      </c>
      <c r="H13" s="47" t="str">
        <f aca="false">IF(GP_Dom_Eq*Ret_Dom_Eq+GP_Intl_Eq*Ret_Intl_Eq+GP_Fixed_Inc*Ret_Fixed_Inc+GP_TIPS*Ret_TIPS+GP_Cash*Ret_Cash&gt;(GP_Dom_Eq*Ret_Dom_Eq+GP_Intl_Eq*Ret_Intl_Eq+GP_Fixed_Inc*Ret_Fixed_Inc+GP_TIPS*Ret_TIPS+GP_Cash*Ret_Cash-(Mgmt_Fee_Bps+Admin_Fee_Bps)/10000)+0.0001,"PASS","FAIL")</f>
        <v>PASS</v>
      </c>
      <c r="I13" s="47" t="str">
        <f aca="false">IF(GP_Dom_Eq*Ret_Dom_Eq+GP_Intl_Eq*Ret_Intl_Eq+GP_Fixed_Inc*Ret_Fixed_Inc+GP_TIPS*Ret_TIPS+GP_Cash*Ret_Cash&gt;(GP_Dom_Eq*Ret_Dom_Eq+GP_Intl_Eq*Ret_Intl_Eq+GP_Fixed_Inc*Ret_Fixed_Inc+GP_TIPS*Ret_TIPS+GP_Cash*Ret_Cash-(Mgmt_Fee_Bps+Admin_Fee_Bps)/10000)+0.0001,"PASS","FAIL")</f>
        <v>PASS</v>
      </c>
      <c r="J13" s="47" t="str">
        <f aca="false">IF(GP_Dom_Eq*Ret_Dom_Eq+GP_Intl_Eq*Ret_Intl_Eq+GP_Fixed_Inc*Ret_Fixed_Inc+GP_TIPS*Ret_TIPS+GP_Cash*Ret_Cash&gt;(GP_Dom_Eq*Ret_Dom_Eq+GP_Intl_Eq*Ret_Intl_Eq+GP_Fixed_Inc*Ret_Fixed_Inc+GP_TIPS*Ret_TIPS+GP_Cash*Ret_Cash-(Mgmt_Fee_Bps+Admin_Fee_Bps)/10000)+0.0001,"PASS","FAIL")</f>
        <v>PASS</v>
      </c>
      <c r="K13" s="47" t="str">
        <f aca="false">IF(GP_Dom_Eq*Ret_Dom_Eq+GP_Intl_Eq*Ret_Intl_Eq+GP_Fixed_Inc*Ret_Fixed_Inc+GP_TIPS*Ret_TIPS+GP_Cash*Ret_Cash&gt;(GP_Dom_Eq*Ret_Dom_Eq+GP_Intl_Eq*Ret_Intl_Eq+GP_Fixed_Inc*Ret_Fixed_Inc+GP_TIPS*Ret_TIPS+GP_Cash*Ret_Cash-(Mgmt_Fee_Bps+Admin_Fee_Bps)/10000)+0.0001,"PASS","FAIL")</f>
        <v>PASS</v>
      </c>
      <c r="L13" s="47" t="str">
        <f aca="false">IF(GP_Dom_Eq*Ret_Dom_Eq+GP_Intl_Eq*Ret_Intl_Eq+GP_Fixed_Inc*Ret_Fixed_Inc+GP_TIPS*Ret_TIPS+GP_Cash*Ret_Cash&gt;(GP_Dom_Eq*Ret_Dom_Eq+GP_Intl_Eq*Ret_Intl_Eq+GP_Fixed_Inc*Ret_Fixed_Inc+GP_TIPS*Ret_TIPS+GP_Cash*Ret_Cash-(Mgmt_Fee_Bps+Admin_Fee_Bps)/10000)+0.0001,"PASS","FAIL")</f>
        <v>PASS</v>
      </c>
      <c r="M13" s="47" t="str">
        <f aca="false">IF(GP_Dom_Eq*Ret_Dom_Eq+GP_Intl_Eq*Ret_Intl_Eq+GP_Fixed_Inc*Ret_Fixed_Inc+GP_TIPS*Ret_TIPS+GP_Cash*Ret_Cash&gt;(GP_Dom_Eq*Ret_Dom_Eq+GP_Intl_Eq*Ret_Intl_Eq+GP_Fixed_Inc*Ret_Fixed_Inc+GP_TIPS*Ret_TIPS+GP_Cash*Ret_Cash-(Mgmt_Fee_Bps+Admin_Fee_Bps)/10000)+0.0001,"PASS","FAIL")</f>
        <v>PASS</v>
      </c>
      <c r="N13" s="47" t="str">
        <f aca="false">IF(GP_Dom_Eq*Ret_Dom_Eq+GP_Intl_Eq*Ret_Intl_Eq+GP_Fixed_Inc*Ret_Fixed_Inc+GP_TIPS*Ret_TIPS+GP_Cash*Ret_Cash&gt;(GP_Dom_Eq*Ret_Dom_Eq+GP_Intl_Eq*Ret_Intl_Eq+GP_Fixed_Inc*Ret_Fixed_Inc+GP_TIPS*Ret_TIPS+GP_Cash*Ret_Cash-(Mgmt_Fee_Bps+Admin_Fee_Bps)/10000)+0.0001,"PASS","FAIL")</f>
        <v>PASS</v>
      </c>
      <c r="O13" s="47" t="str">
        <f aca="false">IF(GP_Dom_Eq*Ret_Dom_Eq+GP_Intl_Eq*Ret_Intl_Eq+GP_Fixed_Inc*Ret_Fixed_Inc+GP_TIPS*Ret_TIPS+GP_Cash*Ret_Cash&gt;(GP_Dom_Eq*Ret_Dom_Eq+GP_Intl_Eq*Ret_Intl_Eq+GP_Fixed_Inc*Ret_Fixed_Inc+GP_TIPS*Ret_TIPS+GP_Cash*Ret_Cash-(Mgmt_Fee_Bps+Admin_Fee_Bps)/10000)+0.0001,"PASS","FAIL")</f>
        <v>PASS</v>
      </c>
      <c r="P13" s="47" t="str">
        <f aca="false">IF(GP_Dom_Eq*Ret_Dom_Eq+GP_Intl_Eq*Ret_Intl_Eq+GP_Fixed_Inc*Ret_Fixed_Inc+GP_TIPS*Ret_TIPS+GP_Cash*Ret_Cash&gt;(GP_Dom_Eq*Ret_Dom_Eq+GP_Intl_Eq*Ret_Intl_Eq+GP_Fixed_Inc*Ret_Fixed_Inc+GP_TIPS*Ret_TIPS+GP_Cash*Ret_Cash-(Mgmt_Fee_Bps+Admin_Fee_Bps)/10000)+0.0001,"PASS","FAIL")</f>
        <v>PASS</v>
      </c>
      <c r="Q13" s="47" t="str">
        <f aca="false">IF(GP_Dom_Eq*Ret_Dom_Eq+GP_Intl_Eq*Ret_Intl_Eq+GP_Fixed_Inc*Ret_Fixed_Inc+GP_TIPS*Ret_TIPS+GP_Cash*Ret_Cash&gt;(GP_Dom_Eq*Ret_Dom_Eq+GP_Intl_Eq*Ret_Intl_Eq+GP_Fixed_Inc*Ret_Fixed_Inc+GP_TIPS*Ret_TIPS+GP_Cash*Ret_Cash-(Mgmt_Fee_Bps+Admin_Fee_Bps)/10000)+0.0001,"PASS","FAIL")</f>
        <v>PASS</v>
      </c>
      <c r="R13" s="47" t="str">
        <f aca="false">IF(GP_Dom_Eq*Ret_Dom_Eq+GP_Intl_Eq*Ret_Intl_Eq+GP_Fixed_Inc*Ret_Fixed_Inc+GP_TIPS*Ret_TIPS+GP_Cash*Ret_Cash&gt;(GP_Dom_Eq*Ret_Dom_Eq+GP_Intl_Eq*Ret_Intl_Eq+GP_Fixed_Inc*Ret_Fixed_Inc+GP_TIPS*Ret_TIPS+GP_Cash*Ret_Cash-(Mgmt_Fee_Bps+Admin_Fee_Bps)/10000)+0.0001,"PASS","FAIL")</f>
        <v>PASS</v>
      </c>
      <c r="S13" s="47" t="str">
        <f aca="false">IF(GP_Dom_Eq*Ret_Dom_Eq+GP_Intl_Eq*Ret_Intl_Eq+GP_Fixed_Inc*Ret_Fixed_Inc+GP_TIPS*Ret_TIPS+GP_Cash*Ret_Cash&gt;(GP_Dom_Eq*Ret_Dom_Eq+GP_Intl_Eq*Ret_Intl_Eq+GP_Fixed_Inc*Ret_Fixed_Inc+GP_TIPS*Ret_TIPS+GP_Cash*Ret_Cash-(Mgmt_Fee_Bps+Admin_Fee_Bps)/10000)+0.0001,"PASS","FAIL")</f>
        <v>PASS</v>
      </c>
      <c r="T13" s="47" t="str">
        <f aca="false">IF(GP_Dom_Eq*Ret_Dom_Eq+GP_Intl_Eq*Ret_Intl_Eq+GP_Fixed_Inc*Ret_Fixed_Inc+GP_TIPS*Ret_TIPS+GP_Cash*Ret_Cash&gt;(GP_Dom_Eq*Ret_Dom_Eq+GP_Intl_Eq*Ret_Intl_Eq+GP_Fixed_Inc*Ret_Fixed_Inc+GP_TIPS*Ret_TIPS+GP_Cash*Ret_Cash-(Mgmt_Fee_Bps+Admin_Fee_Bps)/10000)+0.0001,"PASS","FAIL")</f>
        <v>PASS</v>
      </c>
      <c r="U13" s="47" t="str">
        <f aca="false">IF(GP_Dom_Eq*Ret_Dom_Eq+GP_Intl_Eq*Ret_Intl_Eq+GP_Fixed_Inc*Ret_Fixed_Inc+GP_TIPS*Ret_TIPS+GP_Cash*Ret_Cash&gt;(GP_Dom_Eq*Ret_Dom_Eq+GP_Intl_Eq*Ret_Intl_Eq+GP_Fixed_Inc*Ret_Fixed_Inc+GP_TIPS*Ret_TIPS+GP_Cash*Ret_Cash-(Mgmt_Fee_Bps+Admin_Fee_Bps)/10000)+0.0001,"PASS","FAIL")</f>
        <v>PASS</v>
      </c>
      <c r="V13" s="47" t="str">
        <f aca="false">IF(GP_Dom_Eq*Ret_Dom_Eq+GP_Intl_Eq*Ret_Intl_Eq+GP_Fixed_Inc*Ret_Fixed_Inc+GP_TIPS*Ret_TIPS+GP_Cash*Ret_Cash&gt;(GP_Dom_Eq*Ret_Dom_Eq+GP_Intl_Eq*Ret_Intl_Eq+GP_Fixed_Inc*Ret_Fixed_Inc+GP_TIPS*Ret_TIPS+GP_Cash*Ret_Cash-(Mgmt_Fee_Bps+Admin_Fee_Bps)/10000)+0.0001,"PASS","FAIL")</f>
        <v>PASS</v>
      </c>
      <c r="W13" s="47" t="str">
        <f aca="false">IF(GP_Dom_Eq*Ret_Dom_Eq+GP_Intl_Eq*Ret_Intl_Eq+GP_Fixed_Inc*Ret_Fixed_Inc+GP_TIPS*Ret_TIPS+GP_Cash*Ret_Cash&gt;(GP_Dom_Eq*Ret_Dom_Eq+GP_Intl_Eq*Ret_Intl_Eq+GP_Fixed_Inc*Ret_Fixed_Inc+GP_TIPS*Ret_TIPS+GP_Cash*Ret_Cash-(Mgmt_Fee_Bps+Admin_Fee_Bps)/10000)+0.0001,"PASS","FAIL")</f>
        <v>PASS</v>
      </c>
      <c r="X13" s="47" t="str">
        <f aca="false">IF(GP_Dom_Eq*Ret_Dom_Eq+GP_Intl_Eq*Ret_Intl_Eq+GP_Fixed_Inc*Ret_Fixed_Inc+GP_TIPS*Ret_TIPS+GP_Cash*Ret_Cash&gt;(GP_Dom_Eq*Ret_Dom_Eq+GP_Intl_Eq*Ret_Intl_Eq+GP_Fixed_Inc*Ret_Fixed_Inc+GP_TIPS*Ret_TIPS+GP_Cash*Ret_Cash-(Mgmt_Fee_Bps+Admin_Fee_Bps)/10000)+0.0001,"PASS","FAIL")</f>
        <v>PASS</v>
      </c>
      <c r="Y13" s="47" t="str">
        <f aca="false">IF(GP_Dom_Eq*Ret_Dom_Eq+GP_Intl_Eq*Ret_Intl_Eq+GP_Fixed_Inc*Ret_Fixed_Inc+GP_TIPS*Ret_TIPS+GP_Cash*Ret_Cash&gt;(GP_Dom_Eq*Ret_Dom_Eq+GP_Intl_Eq*Ret_Intl_Eq+GP_Fixed_Inc*Ret_Fixed_Inc+GP_TIPS*Ret_TIPS+GP_Cash*Ret_Cash-(Mgmt_Fee_Bps+Admin_Fee_Bps)/10000)+0.0001,"PASS","FAIL")</f>
        <v>PASS</v>
      </c>
      <c r="Z13" s="47" t="str">
        <f aca="false">IF(GP_Dom_Eq*Ret_Dom_Eq+GP_Intl_Eq*Ret_Intl_Eq+GP_Fixed_Inc*Ret_Fixed_Inc+GP_TIPS*Ret_TIPS+GP_Cash*Ret_Cash&gt;(GP_Dom_Eq*Ret_Dom_Eq+GP_Intl_Eq*Ret_Intl_Eq+GP_Fixed_Inc*Ret_Fixed_Inc+GP_TIPS*Ret_TIPS+GP_Cash*Ret_Cash-(Mgmt_Fee_Bps+Admin_Fee_Bps)/10000)+0.0001,"PASS","FAIL")</f>
        <v>PASS</v>
      </c>
      <c r="AA13" s="47" t="str">
        <f aca="false">IF(GP_Dom_Eq*Ret_Dom_Eq+GP_Intl_Eq*Ret_Intl_Eq+GP_Fixed_Inc*Ret_Fixed_Inc+GP_TIPS*Ret_TIPS+GP_Cash*Ret_Cash&gt;(GP_Dom_Eq*Ret_Dom_Eq+GP_Intl_Eq*Ret_Intl_Eq+GP_Fixed_Inc*Ret_Fixed_Inc+GP_TIPS*Ret_TIPS+GP_Cash*Ret_Cash-(Mgmt_Fee_Bps+Admin_Fee_Bps)/10000)+0.0001,"PASS","FAIL")</f>
        <v>PASS</v>
      </c>
      <c r="AB13" s="47" t="str">
        <f aca="false">IF(GP_Dom_Eq*Ret_Dom_Eq+GP_Intl_Eq*Ret_Intl_Eq+GP_Fixed_Inc*Ret_Fixed_Inc+GP_TIPS*Ret_TIPS+GP_Cash*Ret_Cash&gt;(GP_Dom_Eq*Ret_Dom_Eq+GP_Intl_Eq*Ret_Intl_Eq+GP_Fixed_Inc*Ret_Fixed_Inc+GP_TIPS*Ret_TIPS+GP_Cash*Ret_Cash-(Mgmt_Fee_Bps+Admin_Fee_Bps)/10000)+0.0001,"PASS","FAIL")</f>
        <v>PASS</v>
      </c>
      <c r="AC13" s="47" t="str">
        <f aca="false">IF(GP_Dom_Eq*Ret_Dom_Eq+GP_Intl_Eq*Ret_Intl_Eq+GP_Fixed_Inc*Ret_Fixed_Inc+GP_TIPS*Ret_TIPS+GP_Cash*Ret_Cash&gt;(GP_Dom_Eq*Ret_Dom_Eq+GP_Intl_Eq*Ret_Intl_Eq+GP_Fixed_Inc*Ret_Fixed_Inc+GP_TIPS*Ret_TIPS+GP_Cash*Ret_Cash-(Mgmt_Fee_Bps+Admin_Fee_Bps)/10000)+0.0001,"PASS","FAIL")</f>
        <v>PASS</v>
      </c>
      <c r="AD13" s="47" t="str">
        <f aca="false">IF(GP_Dom_Eq*Ret_Dom_Eq+GP_Intl_Eq*Ret_Intl_Eq+GP_Fixed_Inc*Ret_Fixed_Inc+GP_TIPS*Ret_TIPS+GP_Cash*Ret_Cash&gt;(GP_Dom_Eq*Ret_Dom_Eq+GP_Intl_Eq*Ret_Intl_Eq+GP_Fixed_Inc*Ret_Fixed_Inc+GP_TIPS*Ret_TIPS+GP_Cash*Ret_Cash-(Mgmt_Fee_Bps+Admin_Fee_Bps)/10000)+0.0001,"PASS","FAIL")</f>
        <v>PASS</v>
      </c>
      <c r="AE13" s="47" t="str">
        <f aca="false">IF(GP_Dom_Eq*Ret_Dom_Eq+GP_Intl_Eq*Ret_Intl_Eq+GP_Fixed_Inc*Ret_Fixed_Inc+GP_TIPS*Ret_TIPS+GP_Cash*Ret_Cash&gt;(GP_Dom_Eq*Ret_Dom_Eq+GP_Intl_Eq*Ret_Intl_Eq+GP_Fixed_Inc*Ret_Fixed_Inc+GP_TIPS*Ret_TIPS+GP_Cash*Ret_Cash-(Mgmt_Fee_Bps+Admin_Fee_Bps)/10000)+0.0001,"PASS","FAIL")</f>
        <v>PASS</v>
      </c>
      <c r="AF13" s="47" t="str">
        <f aca="false">IF(GP_Dom_Eq*Ret_Dom_Eq+GP_Intl_Eq*Ret_Intl_Eq+GP_Fixed_Inc*Ret_Fixed_Inc+GP_TIPS*Ret_TIPS+GP_Cash*Ret_Cash&gt;(GP_Dom_Eq*Ret_Dom_Eq+GP_Intl_Eq*Ret_Intl_Eq+GP_Fixed_Inc*Ret_Fixed_Inc+GP_TIPS*Ret_TIPS+GP_Cash*Ret_Cash-(Mgmt_Fee_Bps+Admin_Fee_Bps)/10000)+0.0001,"PASS","FAIL")</f>
        <v>PASS</v>
      </c>
    </row>
    <row r="14" customFormat="false" ht="15" hidden="false" customHeight="false" outlineLevel="0" collapsed="false">
      <c r="A14" s="6"/>
      <c r="B14" s="10" t="s">
        <v>209</v>
      </c>
      <c r="C14" s="47" t="str">
        <f aca="false">IF(ABS(BS_Ret_Earnings-(IS_Net_Income+CF_Dividends))&lt;0.001,"PASS","FAIL")</f>
        <v>PASS</v>
      </c>
      <c r="D14" s="47" t="str">
        <f aca="false">IF(ABS(BS_Ret_Earnings-(C15+IS_Net_Income+CF_Dividends))&lt;0.001,"PASS","FAIL")</f>
        <v>PASS</v>
      </c>
      <c r="E14" s="47" t="str">
        <f aca="false">IF(ABS(BS_Ret_Earnings-(D15+IS_Net_Income+CF_Dividends))&lt;0.001,"PASS","FAIL")</f>
        <v>PASS</v>
      </c>
      <c r="F14" s="47" t="str">
        <f aca="false">IF(ABS(BS_Ret_Earnings-(E15+IS_Net_Income+CF_Dividends))&lt;0.001,"PASS","FAIL")</f>
        <v>PASS</v>
      </c>
      <c r="G14" s="47" t="str">
        <f aca="false">IF(ABS(BS_Ret_Earnings-(F15+IS_Net_Income+CF_Dividends))&lt;0.001,"PASS","FAIL")</f>
        <v>PASS</v>
      </c>
      <c r="H14" s="47" t="str">
        <f aca="false">IF(ABS(BS_Ret_Earnings-(G15+IS_Net_Income+CF_Dividends))&lt;0.001,"PASS","FAIL")</f>
        <v>PASS</v>
      </c>
      <c r="I14" s="47" t="str">
        <f aca="false">IF(ABS(BS_Ret_Earnings-(H15+IS_Net_Income+CF_Dividends))&lt;0.001,"PASS","FAIL")</f>
        <v>PASS</v>
      </c>
      <c r="J14" s="47" t="str">
        <f aca="false">IF(ABS(BS_Ret_Earnings-(I15+IS_Net_Income+CF_Dividends))&lt;0.001,"PASS","FAIL")</f>
        <v>PASS</v>
      </c>
      <c r="K14" s="47" t="str">
        <f aca="false">IF(ABS(BS_Ret_Earnings-(J15+IS_Net_Income+CF_Dividends))&lt;0.001,"PASS","FAIL")</f>
        <v>PASS</v>
      </c>
      <c r="L14" s="47" t="str">
        <f aca="false">IF(ABS(BS_Ret_Earnings-(K15+IS_Net_Income+CF_Dividends))&lt;0.001,"PASS","FAIL")</f>
        <v>PASS</v>
      </c>
      <c r="M14" s="47" t="str">
        <f aca="false">IF(ABS(BS_Ret_Earnings-(L15+IS_Net_Income+CF_Dividends))&lt;0.001,"PASS","FAIL")</f>
        <v>PASS</v>
      </c>
      <c r="N14" s="47" t="str">
        <f aca="false">IF(ABS(BS_Ret_Earnings-(M15+IS_Net_Income+CF_Dividends))&lt;0.001,"PASS","FAIL")</f>
        <v>PASS</v>
      </c>
      <c r="O14" s="47" t="str">
        <f aca="false">IF(ABS(BS_Ret_Earnings-(N15+IS_Net_Income+CF_Dividends))&lt;0.001,"PASS","FAIL")</f>
        <v>PASS</v>
      </c>
      <c r="P14" s="47" t="str">
        <f aca="false">IF(ABS(BS_Ret_Earnings-(O15+IS_Net_Income+CF_Dividends))&lt;0.001,"PASS","FAIL")</f>
        <v>PASS</v>
      </c>
      <c r="Q14" s="47" t="str">
        <f aca="false">IF(ABS(BS_Ret_Earnings-(P15+IS_Net_Income+CF_Dividends))&lt;0.001,"PASS","FAIL")</f>
        <v>PASS</v>
      </c>
      <c r="R14" s="47" t="str">
        <f aca="false">IF(ABS(BS_Ret_Earnings-(Q15+IS_Net_Income+CF_Dividends))&lt;0.001,"PASS","FAIL")</f>
        <v>PASS</v>
      </c>
      <c r="S14" s="47" t="str">
        <f aca="false">IF(ABS(BS_Ret_Earnings-(R15+IS_Net_Income+CF_Dividends))&lt;0.001,"PASS","FAIL")</f>
        <v>PASS</v>
      </c>
      <c r="T14" s="47" t="str">
        <f aca="false">IF(ABS(BS_Ret_Earnings-(S15+IS_Net_Income+CF_Dividends))&lt;0.001,"PASS","FAIL")</f>
        <v>PASS</v>
      </c>
      <c r="U14" s="47" t="str">
        <f aca="false">IF(ABS(BS_Ret_Earnings-(T15+IS_Net_Income+CF_Dividends))&lt;0.001,"PASS","FAIL")</f>
        <v>PASS</v>
      </c>
      <c r="V14" s="47" t="str">
        <f aca="false">IF(ABS(BS_Ret_Earnings-(U15+IS_Net_Income+CF_Dividends))&lt;0.001,"PASS","FAIL")</f>
        <v>PASS</v>
      </c>
      <c r="W14" s="47" t="str">
        <f aca="false">IF(ABS(BS_Ret_Earnings-(V15+IS_Net_Income+CF_Dividends))&lt;0.001,"PASS","FAIL")</f>
        <v>PASS</v>
      </c>
      <c r="X14" s="47" t="str">
        <f aca="false">IF(ABS(BS_Ret_Earnings-(W15+IS_Net_Income+CF_Dividends))&lt;0.001,"PASS","FAIL")</f>
        <v>PASS</v>
      </c>
      <c r="Y14" s="47" t="str">
        <f aca="false">IF(ABS(BS_Ret_Earnings-(X15+IS_Net_Income+CF_Dividends))&lt;0.001,"PASS","FAIL")</f>
        <v>PASS</v>
      </c>
      <c r="Z14" s="47" t="str">
        <f aca="false">IF(ABS(BS_Ret_Earnings-(Y15+IS_Net_Income+CF_Dividends))&lt;0.001,"PASS","FAIL")</f>
        <v>PASS</v>
      </c>
      <c r="AA14" s="47" t="str">
        <f aca="false">IF(ABS(BS_Ret_Earnings-(Z15+IS_Net_Income+CF_Dividends))&lt;0.001,"PASS","FAIL")</f>
        <v>PASS</v>
      </c>
      <c r="AB14" s="47" t="str">
        <f aca="false">IF(ABS(BS_Ret_Earnings-(AA15+IS_Net_Income+CF_Dividends))&lt;0.001,"PASS","FAIL")</f>
        <v>PASS</v>
      </c>
      <c r="AC14" s="47" t="str">
        <f aca="false">IF(ABS(BS_Ret_Earnings-(AB15+IS_Net_Income+CF_Dividends))&lt;0.001,"PASS","FAIL")</f>
        <v>PASS</v>
      </c>
      <c r="AD14" s="47" t="str">
        <f aca="false">IF(ABS(BS_Ret_Earnings-(AC15+IS_Net_Income+CF_Dividends))&lt;0.001,"PASS","FAIL")</f>
        <v>PASS</v>
      </c>
      <c r="AE14" s="47" t="str">
        <f aca="false">IF(ABS(BS_Ret_Earnings-(AD15+IS_Net_Income+CF_Dividends))&lt;0.001,"PASS","FAIL")</f>
        <v>PASS</v>
      </c>
      <c r="AF14" s="47" t="str">
        <f aca="false">IF(ABS(BS_Ret_Earnings-(AE15+IS_Net_Income+CF_Dividends))&lt;0.001,"PASS","FAIL")</f>
        <v>PASS</v>
      </c>
    </row>
    <row r="15" customFormat="false" ht="15" hidden="false" customHeight="false" outlineLevel="0" collapsed="false">
      <c r="A15" s="6"/>
      <c r="B15" s="42" t="s">
        <v>210</v>
      </c>
      <c r="C15" s="48" t="n">
        <f aca="false">BS_Ret_Earnings</f>
        <v>-4.287373375</v>
      </c>
      <c r="D15" s="48" t="n">
        <f aca="false">BS_Ret_Earnings</f>
        <v>-8.42901517609479</v>
      </c>
      <c r="E15" s="48" t="n">
        <f aca="false">BS_Ret_Earnings</f>
        <v>-12.3897551577847</v>
      </c>
      <c r="F15" s="48" t="n">
        <f aca="false">BS_Ret_Earnings</f>
        <v>-16.1305287815958</v>
      </c>
      <c r="G15" s="48" t="n">
        <f aca="false">BS_Ret_Earnings</f>
        <v>-19.6080496071887</v>
      </c>
      <c r="H15" s="48" t="n">
        <f aca="false">BS_Ret_Earnings</f>
        <v>-22.7744597272076</v>
      </c>
      <c r="I15" s="48" t="n">
        <f aca="false">BS_Ret_Earnings</f>
        <v>-25.5769571014152</v>
      </c>
      <c r="J15" s="48" t="n">
        <f aca="false">BS_Ret_Earnings</f>
        <v>-27.9573985994842</v>
      </c>
      <c r="K15" s="48" t="n">
        <f aca="false">BS_Ret_Earnings</f>
        <v>-29.8518775133558</v>
      </c>
      <c r="L15" s="48" t="n">
        <f aca="false">BS_Ret_Earnings</f>
        <v>-31.1902742490287</v>
      </c>
      <c r="M15" s="48" t="n">
        <f aca="false">BS_Ret_Earnings</f>
        <v>-31.8957788537012</v>
      </c>
      <c r="N15" s="48" t="n">
        <f aca="false">BS_Ret_Earnings</f>
        <v>-31.8923603906854</v>
      </c>
      <c r="O15" s="48" t="n">
        <f aca="false">BS_Ret_Earnings</f>
        <v>-31.6463492387986</v>
      </c>
      <c r="P15" s="48" t="n">
        <f aca="false">BS_Ret_Earnings</f>
        <v>-31.1277307276321</v>
      </c>
      <c r="Q15" s="48" t="n">
        <f aca="false">BS_Ret_Earnings</f>
        <v>-30.3038169286353</v>
      </c>
      <c r="R15" s="48" t="n">
        <f aca="false">BS_Ret_Earnings</f>
        <v>-29.1390544759306</v>
      </c>
      <c r="S15" s="48" t="n">
        <f aca="false">BS_Ret_Earnings</f>
        <v>-27.5948211145583</v>
      </c>
      <c r="T15" s="48" t="n">
        <f aca="false">BS_Ret_Earnings</f>
        <v>-25.6292104245045</v>
      </c>
      <c r="U15" s="48" t="n">
        <f aca="false">BS_Ret_Earnings</f>
        <v>-23.1968041406576</v>
      </c>
      <c r="V15" s="48" t="n">
        <f aca="false">BS_Ret_Earnings</f>
        <v>-20.2484314582418</v>
      </c>
      <c r="W15" s="48" t="n">
        <f aca="false">BS_Ret_Earnings</f>
        <v>-16.7309146800514</v>
      </c>
      <c r="X15" s="48" t="n">
        <f aca="false">BS_Ret_Earnings</f>
        <v>-12.5868005256612</v>
      </c>
      <c r="Y15" s="48" t="n">
        <f aca="false">BS_Ret_Earnings</f>
        <v>-7.75407638341982</v>
      </c>
      <c r="Z15" s="48" t="n">
        <f aca="false">BS_Ret_Earnings</f>
        <v>-2.16587074311933</v>
      </c>
      <c r="AA15" s="48" t="n">
        <f aca="false">BS_Ret_Earnings</f>
        <v>4.24986299958837</v>
      </c>
      <c r="AB15" s="48" t="n">
        <f aca="false">BS_Ret_Earnings</f>
        <v>11.5706802270592</v>
      </c>
      <c r="AC15" s="48" t="n">
        <f aca="false">BS_Ret_Earnings</f>
        <v>19.8799971876388</v>
      </c>
      <c r="AD15" s="48" t="n">
        <f aca="false">BS_Ret_Earnings</f>
        <v>29.2674624645198</v>
      </c>
      <c r="AE15" s="48" t="n">
        <f aca="false">BS_Ret_Earnings</f>
        <v>39.8293488687714</v>
      </c>
      <c r="AF15" s="48" t="n">
        <f aca="false">BS_Ret_Earnings</f>
        <v>51.6689668724847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49" t="s">
        <v>211</v>
      </c>
    </row>
    <row r="3" customFormat="false" ht="3.75" hidden="false" customHeight="true" outlineLevel="0" collapsed="false">
      <c r="B3" s="50"/>
    </row>
    <row r="5" customFormat="false" ht="19.5" hidden="false" customHeight="true" outlineLevel="0" collapsed="false">
      <c r="B5" s="51" t="s">
        <v>212</v>
      </c>
    </row>
    <row r="6" customFormat="false" ht="48" hidden="false" customHeight="true" outlineLevel="0" collapsed="false">
      <c r="B6" s="52" t="s">
        <v>213</v>
      </c>
    </row>
    <row r="8" customFormat="false" ht="19.5" hidden="false" customHeight="true" outlineLevel="0" collapsed="false">
      <c r="B8" s="51" t="s">
        <v>214</v>
      </c>
    </row>
    <row r="9" customFormat="false" ht="61.5" hidden="false" customHeight="true" outlineLevel="0" collapsed="false">
      <c r="B9" s="52" t="s">
        <v>215</v>
      </c>
    </row>
    <row r="11" customFormat="false" ht="19.5" hidden="false" customHeight="true" outlineLevel="0" collapsed="false">
      <c r="B11" s="51" t="s">
        <v>216</v>
      </c>
    </row>
    <row r="12" customFormat="false" ht="75.75" hidden="false" customHeight="true" outlineLevel="0" collapsed="false">
      <c r="B12" s="52" t="s">
        <v>217</v>
      </c>
    </row>
    <row r="14" customFormat="false" ht="19.5" hidden="false" customHeight="true" outlineLevel="0" collapsed="false">
      <c r="B14" s="51" t="s">
        <v>218</v>
      </c>
    </row>
    <row r="15" customFormat="false" ht="61.5" hidden="false" customHeight="true" outlineLevel="0" collapsed="false">
      <c r="B15" s="52" t="s">
        <v>219</v>
      </c>
    </row>
    <row r="17" customFormat="false" ht="19.5" hidden="false" customHeight="true" outlineLevel="0" collapsed="false">
      <c r="B17" s="51" t="s">
        <v>220</v>
      </c>
    </row>
    <row r="18" customFormat="false" ht="33.75" hidden="false" customHeight="true" outlineLevel="0" collapsed="false">
      <c r="B18" s="52" t="s">
        <v>221</v>
      </c>
    </row>
    <row r="20" customFormat="false" ht="19.5" hidden="false" customHeight="true" outlineLevel="0" collapsed="false">
      <c r="B20" s="51" t="s">
        <v>222</v>
      </c>
    </row>
    <row r="21" customFormat="false" ht="33.75" hidden="false" customHeight="true" outlineLevel="0" collapsed="false">
      <c r="B21" s="52" t="s">
        <v>223</v>
      </c>
    </row>
    <row r="23" customFormat="false" ht="21.75" hidden="false" customHeight="true" outlineLevel="0" collapsed="false">
      <c r="B23" s="53" t="s">
        <v>224</v>
      </c>
    </row>
    <row r="25" customFormat="false" ht="18" hidden="false" customHeight="true" outlineLevel="0" collapsed="false">
      <c r="B25" s="54" t="s">
        <v>225</v>
      </c>
    </row>
    <row r="26" customFormat="false" ht="201.75" hidden="false" customHeight="true" outlineLevel="0" collapsed="false">
      <c r="B26" s="55" t="s">
        <v>226</v>
      </c>
    </row>
    <row r="28" customFormat="false" ht="18" hidden="false" customHeight="true" outlineLevel="0" collapsed="false">
      <c r="B28" s="56" t="s">
        <v>227</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5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3" min="3" style="0" width="14"/>
    <col collapsed="false" customWidth="true" hidden="false" outlineLevel="0" max="4" min="4" style="0" width="10"/>
    <col collapsed="false" customWidth="true" hidden="false" outlineLevel="0" max="5" min="5" style="0" width="25"/>
  </cols>
  <sheetData>
    <row r="1" customFormat="false" ht="15" hidden="false" customHeight="false" outlineLevel="0" collapsed="false">
      <c r="A1" s="1"/>
      <c r="B1" s="1"/>
      <c r="C1" s="1"/>
      <c r="D1" s="1"/>
      <c r="E1" s="1"/>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21" t="s">
        <v>7</v>
      </c>
      <c r="C2" s="1"/>
      <c r="D2" s="1"/>
      <c r="E2" s="1"/>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22" t="s">
        <v>33</v>
      </c>
      <c r="C3" s="1"/>
      <c r="D3" s="1"/>
      <c r="E3" s="1"/>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row>
    <row r="5" customFormat="false" ht="15" hidden="false" customHeight="false" outlineLevel="0" collapsed="false">
      <c r="A5" s="6"/>
      <c r="B5" s="23" t="s">
        <v>34</v>
      </c>
      <c r="C5" s="24"/>
      <c r="D5" s="24"/>
      <c r="E5" s="24"/>
    </row>
    <row r="6" customFormat="false" ht="15" hidden="false" customHeight="false" outlineLevel="0" collapsed="false">
      <c r="A6" s="6"/>
      <c r="B6" s="10" t="s">
        <v>35</v>
      </c>
      <c r="C6" s="25" t="n">
        <v>2055</v>
      </c>
      <c r="D6" s="26" t="s">
        <v>36</v>
      </c>
      <c r="E6" s="26" t="s">
        <v>37</v>
      </c>
    </row>
    <row r="7" customFormat="false" ht="15" hidden="false" customHeight="false" outlineLevel="0" collapsed="false">
      <c r="A7" s="6"/>
      <c r="B7" s="10" t="s">
        <v>38</v>
      </c>
      <c r="C7" s="25" t="n">
        <v>2025</v>
      </c>
      <c r="D7" s="26" t="s">
        <v>36</v>
      </c>
      <c r="E7" s="26" t="s">
        <v>39</v>
      </c>
    </row>
    <row r="8" customFormat="false" ht="15" hidden="false" customHeight="false" outlineLevel="0" collapsed="false">
      <c r="A8" s="6"/>
      <c r="B8" s="10" t="s">
        <v>40</v>
      </c>
      <c r="C8" s="25" t="n">
        <v>30</v>
      </c>
      <c r="D8" s="26" t="s">
        <v>41</v>
      </c>
      <c r="E8" s="26" t="s">
        <v>42</v>
      </c>
    </row>
    <row r="9" customFormat="false" ht="15" hidden="false" customHeight="false" outlineLevel="0" collapsed="false">
      <c r="A9" s="6"/>
      <c r="B9" s="10" t="s">
        <v>43</v>
      </c>
      <c r="C9" s="25" t="n">
        <v>2</v>
      </c>
      <c r="D9" s="26"/>
      <c r="E9" s="26" t="s">
        <v>44</v>
      </c>
    </row>
    <row r="10" customFormat="false" ht="15" hidden="false" customHeight="false" outlineLevel="0" collapsed="false">
      <c r="A10" s="6"/>
      <c r="B10" s="6"/>
      <c r="C10" s="6"/>
      <c r="D10" s="6"/>
      <c r="E10" s="6"/>
    </row>
    <row r="11" customFormat="false" ht="15" hidden="false" customHeight="false" outlineLevel="0" collapsed="false">
      <c r="A11" s="6"/>
      <c r="B11" s="23" t="s">
        <v>45</v>
      </c>
      <c r="C11" s="24"/>
      <c r="D11" s="24"/>
      <c r="E11" s="24"/>
    </row>
    <row r="12" customFormat="false" ht="15" hidden="false" customHeight="false" outlineLevel="0" collapsed="false">
      <c r="A12" s="6"/>
      <c r="B12" s="10" t="s">
        <v>46</v>
      </c>
      <c r="C12" s="25" t="n">
        <v>35</v>
      </c>
      <c r="D12" s="26" t="s">
        <v>47</v>
      </c>
      <c r="E12" s="26" t="s">
        <v>48</v>
      </c>
    </row>
    <row r="13" customFormat="false" ht="15" hidden="false" customHeight="false" outlineLevel="0" collapsed="false">
      <c r="A13" s="6"/>
      <c r="B13" s="10" t="s">
        <v>49</v>
      </c>
      <c r="C13" s="25" t="n">
        <v>12</v>
      </c>
      <c r="D13" s="26" t="s">
        <v>47</v>
      </c>
      <c r="E13" s="26" t="s">
        <v>50</v>
      </c>
    </row>
    <row r="14" customFormat="false" ht="15" hidden="false" customHeight="false" outlineLevel="0" collapsed="false">
      <c r="A14" s="6"/>
      <c r="B14" s="10" t="s">
        <v>51</v>
      </c>
      <c r="C14" s="25" t="n">
        <v>5</v>
      </c>
      <c r="D14" s="26" t="s">
        <v>47</v>
      </c>
      <c r="E14" s="26" t="s">
        <v>52</v>
      </c>
    </row>
    <row r="15" customFormat="false" ht="15" hidden="false" customHeight="false" outlineLevel="0" collapsed="false">
      <c r="A15" s="6"/>
      <c r="B15" s="10" t="s">
        <v>53</v>
      </c>
      <c r="C15" s="25" t="n">
        <v>1</v>
      </c>
      <c r="D15" s="26" t="s">
        <v>47</v>
      </c>
      <c r="E15" s="26" t="s">
        <v>54</v>
      </c>
    </row>
    <row r="16" customFormat="false" ht="15" hidden="false" customHeight="false" outlineLevel="0" collapsed="false">
      <c r="A16" s="6"/>
      <c r="B16" s="6"/>
      <c r="C16" s="6"/>
      <c r="D16" s="6"/>
      <c r="E16" s="6"/>
    </row>
    <row r="17" customFormat="false" ht="15" hidden="false" customHeight="false" outlineLevel="0" collapsed="false">
      <c r="A17" s="6"/>
      <c r="B17" s="23" t="s">
        <v>55</v>
      </c>
      <c r="C17" s="24"/>
      <c r="D17" s="24"/>
      <c r="E17" s="24"/>
    </row>
    <row r="18" customFormat="false" ht="15" hidden="false" customHeight="false" outlineLevel="0" collapsed="false">
      <c r="A18" s="6"/>
      <c r="B18" s="10" t="s">
        <v>56</v>
      </c>
      <c r="C18" s="27" t="n">
        <v>50</v>
      </c>
      <c r="D18" s="26" t="s">
        <v>57</v>
      </c>
      <c r="E18" s="26" t="s">
        <v>58</v>
      </c>
    </row>
    <row r="19" customFormat="false" ht="15" hidden="false" customHeight="false" outlineLevel="0" collapsed="false">
      <c r="A19" s="6"/>
      <c r="B19" s="10" t="s">
        <v>59</v>
      </c>
      <c r="C19" s="27" t="n">
        <v>120</v>
      </c>
      <c r="D19" s="26" t="s">
        <v>57</v>
      </c>
      <c r="E19" s="26" t="s">
        <v>60</v>
      </c>
    </row>
    <row r="20" customFormat="false" ht="15" hidden="false" customHeight="false" outlineLevel="0" collapsed="false">
      <c r="A20" s="6"/>
      <c r="B20" s="10" t="s">
        <v>61</v>
      </c>
      <c r="C20" s="28" t="n">
        <v>0.08</v>
      </c>
      <c r="D20" s="26"/>
      <c r="E20" s="26" t="s">
        <v>62</v>
      </c>
    </row>
    <row r="21" customFormat="false" ht="15" hidden="false" customHeight="false" outlineLevel="0" collapsed="false">
      <c r="A21" s="6"/>
      <c r="B21" s="10" t="s">
        <v>63</v>
      </c>
      <c r="C21" s="28" t="n">
        <v>0.15</v>
      </c>
      <c r="D21" s="26"/>
      <c r="E21" s="26" t="s">
        <v>64</v>
      </c>
    </row>
    <row r="22" customFormat="false" ht="15" hidden="false" customHeight="false" outlineLevel="0" collapsed="false">
      <c r="A22" s="6"/>
      <c r="B22" s="10" t="s">
        <v>65</v>
      </c>
      <c r="C22" s="25" t="n">
        <v>2</v>
      </c>
      <c r="D22" s="26" t="s">
        <v>47</v>
      </c>
      <c r="E22" s="26" t="s">
        <v>66</v>
      </c>
    </row>
    <row r="23" customFormat="false" ht="15" hidden="false" customHeight="false" outlineLevel="0" collapsed="false">
      <c r="A23" s="6"/>
      <c r="B23" s="6"/>
      <c r="C23" s="6"/>
      <c r="D23" s="6"/>
      <c r="E23" s="6"/>
    </row>
    <row r="24" customFormat="false" ht="15" hidden="false" customHeight="false" outlineLevel="0" collapsed="false">
      <c r="A24" s="6"/>
      <c r="B24" s="23" t="s">
        <v>67</v>
      </c>
      <c r="C24" s="24"/>
      <c r="D24" s="24"/>
      <c r="E24" s="24"/>
    </row>
    <row r="25" customFormat="false" ht="15" hidden="false" customHeight="false" outlineLevel="0" collapsed="false">
      <c r="A25" s="6"/>
      <c r="B25" s="10" t="s">
        <v>68</v>
      </c>
      <c r="C25" s="28" t="n">
        <v>0.085</v>
      </c>
      <c r="D25" s="26"/>
      <c r="E25" s="26" t="s">
        <v>69</v>
      </c>
    </row>
    <row r="26" customFormat="false" ht="15" hidden="false" customHeight="false" outlineLevel="0" collapsed="false">
      <c r="A26" s="6"/>
      <c r="B26" s="10" t="s">
        <v>70</v>
      </c>
      <c r="C26" s="28" t="n">
        <v>0.075</v>
      </c>
      <c r="D26" s="26"/>
      <c r="E26" s="26" t="s">
        <v>69</v>
      </c>
    </row>
    <row r="27" customFormat="false" ht="15" hidden="false" customHeight="false" outlineLevel="0" collapsed="false">
      <c r="A27" s="6"/>
      <c r="B27" s="10" t="s">
        <v>71</v>
      </c>
      <c r="C27" s="28" t="n">
        <v>0.04</v>
      </c>
      <c r="D27" s="26"/>
      <c r="E27" s="26" t="s">
        <v>72</v>
      </c>
    </row>
    <row r="28" customFormat="false" ht="15" hidden="false" customHeight="false" outlineLevel="0" collapsed="false">
      <c r="A28" s="6"/>
      <c r="B28" s="10" t="s">
        <v>73</v>
      </c>
      <c r="C28" s="28" t="n">
        <v>0.03</v>
      </c>
      <c r="D28" s="26"/>
      <c r="E28" s="26" t="s">
        <v>74</v>
      </c>
    </row>
    <row r="29" customFormat="false" ht="15" hidden="false" customHeight="false" outlineLevel="0" collapsed="false">
      <c r="A29" s="6"/>
      <c r="B29" s="10" t="s">
        <v>75</v>
      </c>
      <c r="C29" s="28" t="n">
        <v>0.025</v>
      </c>
      <c r="D29" s="26"/>
      <c r="E29" s="26" t="s">
        <v>76</v>
      </c>
    </row>
    <row r="30" customFormat="false" ht="15" hidden="false" customHeight="false" outlineLevel="0" collapsed="false">
      <c r="A30" s="6"/>
      <c r="B30" s="6"/>
      <c r="C30" s="6"/>
      <c r="D30" s="6"/>
      <c r="E30" s="6"/>
    </row>
    <row r="31" customFormat="false" ht="15" hidden="false" customHeight="false" outlineLevel="0" collapsed="false">
      <c r="A31" s="6"/>
      <c r="B31" s="23" t="s">
        <v>77</v>
      </c>
      <c r="C31" s="24"/>
      <c r="D31" s="24"/>
      <c r="E31" s="24"/>
    </row>
    <row r="32" customFormat="false" ht="15" hidden="false" customHeight="false" outlineLevel="0" collapsed="false">
      <c r="A32" s="6"/>
      <c r="B32" s="10" t="s">
        <v>78</v>
      </c>
      <c r="C32" s="28" t="n">
        <v>0.9</v>
      </c>
      <c r="D32" s="26"/>
      <c r="E32" s="26" t="s">
        <v>79</v>
      </c>
    </row>
    <row r="33" customFormat="false" ht="15" hidden="false" customHeight="false" outlineLevel="0" collapsed="false">
      <c r="A33" s="6"/>
      <c r="B33" s="10" t="s">
        <v>80</v>
      </c>
      <c r="C33" s="28" t="n">
        <v>0.4</v>
      </c>
      <c r="D33" s="26"/>
      <c r="E33" s="26" t="s">
        <v>81</v>
      </c>
    </row>
    <row r="34" customFormat="false" ht="15" hidden="false" customHeight="false" outlineLevel="0" collapsed="false">
      <c r="A34" s="6"/>
      <c r="B34" s="10" t="s">
        <v>82</v>
      </c>
      <c r="C34" s="28" t="n">
        <v>0.25</v>
      </c>
      <c r="D34" s="26"/>
      <c r="E34" s="26" t="s">
        <v>83</v>
      </c>
    </row>
    <row r="35" customFormat="false" ht="15" hidden="false" customHeight="false" outlineLevel="0" collapsed="false">
      <c r="A35" s="6"/>
      <c r="B35" s="6"/>
      <c r="C35" s="6"/>
      <c r="D35" s="6"/>
      <c r="E35" s="6"/>
    </row>
    <row r="36" customFormat="false" ht="15" hidden="false" customHeight="false" outlineLevel="0" collapsed="false">
      <c r="A36" s="6"/>
      <c r="B36" s="23" t="s">
        <v>84</v>
      </c>
      <c r="C36" s="24"/>
      <c r="D36" s="24"/>
      <c r="E36" s="24"/>
    </row>
    <row r="37" customFormat="false" ht="15" hidden="false" customHeight="false" outlineLevel="0" collapsed="false">
      <c r="A37" s="6"/>
      <c r="B37" s="10" t="s">
        <v>85</v>
      </c>
      <c r="C37" s="27" t="n">
        <v>1.8</v>
      </c>
      <c r="D37" s="26" t="s">
        <v>86</v>
      </c>
      <c r="E37" s="26" t="s">
        <v>87</v>
      </c>
    </row>
    <row r="38" customFormat="false" ht="15" hidden="false" customHeight="false" outlineLevel="0" collapsed="false">
      <c r="A38" s="6"/>
      <c r="B38" s="10" t="s">
        <v>88</v>
      </c>
      <c r="C38" s="27" t="n">
        <v>1.2</v>
      </c>
      <c r="D38" s="26" t="s">
        <v>86</v>
      </c>
      <c r="E38" s="26" t="s">
        <v>89</v>
      </c>
    </row>
    <row r="39" customFormat="false" ht="15" hidden="false" customHeight="false" outlineLevel="0" collapsed="false">
      <c r="A39" s="6"/>
      <c r="B39" s="10" t="s">
        <v>90</v>
      </c>
      <c r="C39" s="28" t="n">
        <v>0.5</v>
      </c>
      <c r="D39" s="26" t="s">
        <v>86</v>
      </c>
      <c r="E39" s="26" t="s">
        <v>91</v>
      </c>
    </row>
    <row r="40" customFormat="false" ht="15" hidden="false" customHeight="false" outlineLevel="0" collapsed="false">
      <c r="A40" s="6"/>
      <c r="B40" s="10" t="s">
        <v>92</v>
      </c>
      <c r="C40" s="28" t="n">
        <v>0.8</v>
      </c>
      <c r="D40" s="26" t="s">
        <v>86</v>
      </c>
      <c r="E40" s="26" t="s">
        <v>93</v>
      </c>
    </row>
    <row r="41" customFormat="false" ht="15" hidden="false" customHeight="false" outlineLevel="0" collapsed="false">
      <c r="A41" s="6"/>
      <c r="B41" s="10" t="s">
        <v>94</v>
      </c>
      <c r="C41" s="25" t="n">
        <v>3</v>
      </c>
      <c r="D41" s="26" t="s">
        <v>47</v>
      </c>
      <c r="E41" s="26" t="s">
        <v>95</v>
      </c>
    </row>
    <row r="42" customFormat="false" ht="15" hidden="false" customHeight="false" outlineLevel="0" collapsed="false">
      <c r="A42" s="6"/>
      <c r="B42" s="10" t="s">
        <v>96</v>
      </c>
      <c r="C42" s="25" t="n">
        <v>2</v>
      </c>
      <c r="D42" s="26" t="s">
        <v>47</v>
      </c>
      <c r="E42" s="26" t="s">
        <v>95</v>
      </c>
    </row>
    <row r="43" customFormat="false" ht="15" hidden="false" customHeight="false" outlineLevel="0" collapsed="false">
      <c r="A43" s="6"/>
      <c r="B43" s="10" t="s">
        <v>97</v>
      </c>
      <c r="C43" s="28" t="n">
        <v>0.025</v>
      </c>
      <c r="D43" s="26"/>
      <c r="E43" s="26" t="s">
        <v>62</v>
      </c>
    </row>
    <row r="44" customFormat="false" ht="15" hidden="false" customHeight="false" outlineLevel="0" collapsed="false">
      <c r="A44" s="6"/>
      <c r="B44" s="6"/>
      <c r="C44" s="6"/>
      <c r="D44" s="6"/>
      <c r="E44" s="6"/>
    </row>
    <row r="45" customFormat="false" ht="15" hidden="false" customHeight="false" outlineLevel="0" collapsed="false">
      <c r="A45" s="6"/>
      <c r="B45" s="23" t="s">
        <v>98</v>
      </c>
      <c r="C45" s="24"/>
      <c r="D45" s="24"/>
      <c r="E45" s="24"/>
    </row>
    <row r="46" customFormat="false" ht="15" hidden="false" customHeight="false" outlineLevel="0" collapsed="false">
      <c r="A46" s="6"/>
      <c r="B46" s="10" t="s">
        <v>99</v>
      </c>
      <c r="C46" s="27" t="n">
        <v>50</v>
      </c>
      <c r="D46" s="26" t="s">
        <v>57</v>
      </c>
      <c r="E46" s="26" t="s">
        <v>100</v>
      </c>
    </row>
    <row r="47" customFormat="false" ht="15" hidden="false" customHeight="false" outlineLevel="0" collapsed="false">
      <c r="A47" s="6"/>
      <c r="B47" s="10" t="s">
        <v>101</v>
      </c>
      <c r="C47" s="27" t="n">
        <v>30</v>
      </c>
      <c r="D47" s="26" t="s">
        <v>57</v>
      </c>
      <c r="E47" s="26" t="s">
        <v>102</v>
      </c>
    </row>
    <row r="48" customFormat="false" ht="15" hidden="false" customHeight="false" outlineLevel="0" collapsed="false">
      <c r="A48" s="6"/>
      <c r="B48" s="10" t="s">
        <v>103</v>
      </c>
      <c r="C48" s="28" t="n">
        <v>0.055</v>
      </c>
      <c r="D48" s="26"/>
      <c r="E48" s="26" t="s">
        <v>104</v>
      </c>
    </row>
    <row r="49" customFormat="false" ht="15" hidden="false" customHeight="false" outlineLevel="0" collapsed="false">
      <c r="A49" s="6"/>
      <c r="B49" s="10" t="s">
        <v>105</v>
      </c>
      <c r="C49" s="28" t="n">
        <v>0.6</v>
      </c>
      <c r="D49" s="26"/>
      <c r="E49" s="26" t="s">
        <v>106</v>
      </c>
    </row>
    <row r="50" customFormat="false" ht="15" hidden="false" customHeight="false" outlineLevel="0" collapsed="false">
      <c r="A50" s="6"/>
      <c r="B50" s="10" t="s">
        <v>107</v>
      </c>
      <c r="C50" s="28" t="n">
        <v>0.25</v>
      </c>
      <c r="D50" s="26"/>
      <c r="E50" s="26" t="s">
        <v>108</v>
      </c>
    </row>
    <row r="51" customFormat="false" ht="15" hidden="false" customHeight="false" outlineLevel="0" collapsed="false">
      <c r="A51" s="6"/>
      <c r="B51" s="10" t="s">
        <v>109</v>
      </c>
      <c r="C51" s="28" t="n">
        <v>0.2</v>
      </c>
      <c r="D51" s="26" t="s">
        <v>86</v>
      </c>
      <c r="E51" s="26" t="s">
        <v>110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F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4"/>
    <col collapsed="false" customWidth="true" hidden="false" outlineLevel="0" max="32" min="3" style="0" width="11"/>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6"/>
      <c r="AF1" s="6"/>
    </row>
    <row r="2" customFormat="false" ht="21.75" hidden="false" customHeight="true" outlineLevel="0" collapsed="false">
      <c r="A2" s="1"/>
      <c r="B2" s="21" t="s">
        <v>111</v>
      </c>
      <c r="C2" s="1"/>
      <c r="D2" s="1"/>
      <c r="E2" s="1"/>
      <c r="F2" s="1"/>
      <c r="G2" s="1"/>
      <c r="H2" s="1"/>
      <c r="I2" s="1"/>
      <c r="J2" s="1"/>
      <c r="K2" s="1"/>
      <c r="L2" s="1"/>
      <c r="M2" s="1"/>
      <c r="N2" s="1"/>
      <c r="O2" s="1"/>
      <c r="P2" s="1"/>
      <c r="Q2" s="1"/>
      <c r="R2" s="1"/>
      <c r="S2" s="1"/>
      <c r="T2" s="1"/>
      <c r="U2" s="1"/>
      <c r="V2" s="1"/>
      <c r="W2" s="1"/>
      <c r="X2" s="1"/>
      <c r="Y2" s="1"/>
      <c r="Z2" s="1"/>
      <c r="AA2" s="1"/>
      <c r="AB2" s="1"/>
      <c r="AC2" s="1"/>
      <c r="AD2" s="1"/>
      <c r="AE2" s="6"/>
      <c r="AF2" s="6"/>
    </row>
    <row r="3" customFormat="false" ht="15" hidden="false" customHeight="false" outlineLevel="0" collapsed="false">
      <c r="A3" s="1"/>
      <c r="B3" s="22" t="s">
        <v>112</v>
      </c>
      <c r="C3" s="1"/>
      <c r="D3" s="1"/>
      <c r="E3" s="1"/>
      <c r="F3" s="1"/>
      <c r="G3" s="1"/>
      <c r="H3" s="1"/>
      <c r="I3" s="1"/>
      <c r="J3" s="1"/>
      <c r="K3" s="1"/>
      <c r="L3" s="1"/>
      <c r="M3" s="1"/>
      <c r="N3" s="1"/>
      <c r="O3" s="1"/>
      <c r="P3" s="1"/>
      <c r="Q3" s="1"/>
      <c r="R3" s="1"/>
      <c r="S3" s="1"/>
      <c r="T3" s="1"/>
      <c r="U3" s="1"/>
      <c r="V3" s="1"/>
      <c r="W3" s="1"/>
      <c r="X3" s="1"/>
      <c r="Y3" s="1"/>
      <c r="Z3" s="1"/>
      <c r="AA3" s="1"/>
      <c r="AB3" s="1"/>
      <c r="AC3" s="1"/>
      <c r="AD3" s="1"/>
      <c r="AE3" s="6"/>
      <c r="AF3" s="6"/>
    </row>
    <row r="4" customFormat="false" ht="15" hidden="false" customHeight="false" outlineLevel="0" collapsed="false">
      <c r="A4" s="6"/>
      <c r="B4" s="29" t="s">
        <v>36</v>
      </c>
      <c r="C4" s="30" t="n">
        <f aca="false">Launch_Year+0</f>
        <v>2025</v>
      </c>
      <c r="D4" s="30" t="n">
        <f aca="false">Launch_Year+1</f>
        <v>2026</v>
      </c>
      <c r="E4" s="30" t="n">
        <f aca="false">Launch_Year+2</f>
        <v>2027</v>
      </c>
      <c r="F4" s="30" t="n">
        <f aca="false">Launch_Year+3</f>
        <v>2028</v>
      </c>
      <c r="G4" s="30" t="n">
        <f aca="false">Launch_Year+4</f>
        <v>2029</v>
      </c>
      <c r="H4" s="30" t="n">
        <f aca="false">Launch_Year+5</f>
        <v>2030</v>
      </c>
      <c r="I4" s="30" t="n">
        <f aca="false">Launch_Year+6</f>
        <v>2031</v>
      </c>
      <c r="J4" s="30" t="n">
        <f aca="false">Launch_Year+7</f>
        <v>2032</v>
      </c>
      <c r="K4" s="30" t="n">
        <f aca="false">Launch_Year+8</f>
        <v>2033</v>
      </c>
      <c r="L4" s="30" t="n">
        <f aca="false">Launch_Year+9</f>
        <v>2034</v>
      </c>
      <c r="M4" s="30" t="n">
        <f aca="false">Launch_Year+10</f>
        <v>2035</v>
      </c>
      <c r="N4" s="30" t="n">
        <f aca="false">Launch_Year+11</f>
        <v>2036</v>
      </c>
      <c r="O4" s="30" t="n">
        <f aca="false">Launch_Year+12</f>
        <v>2037</v>
      </c>
      <c r="P4" s="30" t="n">
        <f aca="false">Launch_Year+13</f>
        <v>2038</v>
      </c>
      <c r="Q4" s="30" t="n">
        <f aca="false">Launch_Year+14</f>
        <v>2039</v>
      </c>
      <c r="R4" s="30" t="n">
        <f aca="false">Launch_Year+15</f>
        <v>2040</v>
      </c>
      <c r="S4" s="30" t="n">
        <f aca="false">Launch_Year+16</f>
        <v>2041</v>
      </c>
      <c r="T4" s="30" t="n">
        <f aca="false">Launch_Year+17</f>
        <v>2042</v>
      </c>
      <c r="U4" s="30" t="n">
        <f aca="false">Launch_Year+18</f>
        <v>2043</v>
      </c>
      <c r="V4" s="30" t="n">
        <f aca="false">Launch_Year+19</f>
        <v>2044</v>
      </c>
      <c r="W4" s="30" t="n">
        <f aca="false">Launch_Year+20</f>
        <v>2045</v>
      </c>
      <c r="X4" s="30" t="n">
        <f aca="false">Launch_Year+21</f>
        <v>2046</v>
      </c>
      <c r="Y4" s="30" t="n">
        <f aca="false">Launch_Year+22</f>
        <v>2047</v>
      </c>
      <c r="Z4" s="30" t="n">
        <f aca="false">Launch_Year+23</f>
        <v>2048</v>
      </c>
      <c r="AA4" s="30" t="n">
        <f aca="false">Launch_Year+24</f>
        <v>2049</v>
      </c>
      <c r="AB4" s="30" t="n">
        <f aca="false">Launch_Year+25</f>
        <v>2050</v>
      </c>
      <c r="AC4" s="30" t="n">
        <f aca="false">Launch_Year+26</f>
        <v>2051</v>
      </c>
      <c r="AD4" s="30" t="n">
        <f aca="false">Launch_Year+27</f>
        <v>2052</v>
      </c>
      <c r="AE4" s="30" t="n">
        <f aca="false">Launch_Year+28</f>
        <v>2053</v>
      </c>
      <c r="AF4" s="30" t="n">
        <f aca="false">Launch_Year+29</f>
        <v>2054</v>
      </c>
    </row>
    <row r="5" customFormat="false" ht="15" hidden="false" customHeight="false" outlineLevel="0" collapsed="false">
      <c r="A5" s="6"/>
      <c r="B5" s="10" t="s">
        <v>113</v>
      </c>
      <c r="C5" s="31" t="n">
        <f aca="false">Target_Year-(Launch_Year+0)</f>
        <v>30</v>
      </c>
      <c r="D5" s="31" t="n">
        <f aca="false">Target_Year-(Launch_Year+1)</f>
        <v>29</v>
      </c>
      <c r="E5" s="31" t="n">
        <f aca="false">Target_Year-(Launch_Year+2)</f>
        <v>28</v>
      </c>
      <c r="F5" s="31" t="n">
        <f aca="false">Target_Year-(Launch_Year+3)</f>
        <v>27</v>
      </c>
      <c r="G5" s="31" t="n">
        <f aca="false">Target_Year-(Launch_Year+4)</f>
        <v>26</v>
      </c>
      <c r="H5" s="31" t="n">
        <f aca="false">Target_Year-(Launch_Year+5)</f>
        <v>25</v>
      </c>
      <c r="I5" s="31" t="n">
        <f aca="false">Target_Year-(Launch_Year+6)</f>
        <v>24</v>
      </c>
      <c r="J5" s="31" t="n">
        <f aca="false">Target_Year-(Launch_Year+7)</f>
        <v>23</v>
      </c>
      <c r="K5" s="31" t="n">
        <f aca="false">Target_Year-(Launch_Year+8)</f>
        <v>22</v>
      </c>
      <c r="L5" s="31" t="n">
        <f aca="false">Target_Year-(Launch_Year+9)</f>
        <v>21</v>
      </c>
      <c r="M5" s="31" t="n">
        <f aca="false">Target_Year-(Launch_Year+10)</f>
        <v>20</v>
      </c>
      <c r="N5" s="31" t="n">
        <f aca="false">Target_Year-(Launch_Year+11)</f>
        <v>19</v>
      </c>
      <c r="O5" s="31" t="n">
        <f aca="false">Target_Year-(Launch_Year+12)</f>
        <v>18</v>
      </c>
      <c r="P5" s="31" t="n">
        <f aca="false">Target_Year-(Launch_Year+13)</f>
        <v>17</v>
      </c>
      <c r="Q5" s="31" t="n">
        <f aca="false">Target_Year-(Launch_Year+14)</f>
        <v>16</v>
      </c>
      <c r="R5" s="31" t="n">
        <f aca="false">Target_Year-(Launch_Year+15)</f>
        <v>15</v>
      </c>
      <c r="S5" s="31" t="n">
        <f aca="false">Target_Year-(Launch_Year+16)</f>
        <v>14</v>
      </c>
      <c r="T5" s="31" t="n">
        <f aca="false">Target_Year-(Launch_Year+17)</f>
        <v>13</v>
      </c>
      <c r="U5" s="31" t="n">
        <f aca="false">Target_Year-(Launch_Year+18)</f>
        <v>12</v>
      </c>
      <c r="V5" s="31" t="n">
        <f aca="false">Target_Year-(Launch_Year+19)</f>
        <v>11</v>
      </c>
      <c r="W5" s="31" t="n">
        <f aca="false">Target_Year-(Launch_Year+20)</f>
        <v>10</v>
      </c>
      <c r="X5" s="31" t="n">
        <f aca="false">Target_Year-(Launch_Year+21)</f>
        <v>9</v>
      </c>
      <c r="Y5" s="31" t="n">
        <f aca="false">Target_Year-(Launch_Year+22)</f>
        <v>8</v>
      </c>
      <c r="Z5" s="31" t="n">
        <f aca="false">Target_Year-(Launch_Year+23)</f>
        <v>7</v>
      </c>
      <c r="AA5" s="31" t="n">
        <f aca="false">Target_Year-(Launch_Year+24)</f>
        <v>6</v>
      </c>
      <c r="AB5" s="31" t="n">
        <f aca="false">Target_Year-(Launch_Year+25)</f>
        <v>5</v>
      </c>
      <c r="AC5" s="31" t="n">
        <f aca="false">Target_Year-(Launch_Year+26)</f>
        <v>4</v>
      </c>
      <c r="AD5" s="31" t="n">
        <f aca="false">Target_Year-(Launch_Year+27)</f>
        <v>3</v>
      </c>
      <c r="AE5" s="31" t="n">
        <f aca="false">Target_Year-(Launch_Year+28)</f>
        <v>2</v>
      </c>
      <c r="AF5" s="31" t="n">
        <f aca="false">Target_Year-(Launch_Year+29)</f>
        <v>1</v>
      </c>
    </row>
    <row r="6" customFormat="false" ht="15" hidden="false" customHeight="false" outlineLevel="0" collapsed="false">
      <c r="A6" s="6"/>
      <c r="B6" s="10" t="s">
        <v>114</v>
      </c>
      <c r="C6" s="32" t="n">
        <f aca="false">IF(C5&gt;=0,Eq_At_Launch-(Eq_At_Launch-Eq_At_Retire)*MIN(1,0/(Target_Year-Launch_Year)),IF(Glide_Type=1,Eq_At_Retire,MAX(Eq_Post_Retire,Eq_At_Retire-(Eq_At_Retire-Eq_Post_Retire)*MIN(1,-C5/10))))</f>
        <v>0.9</v>
      </c>
      <c r="D6" s="32" t="n">
        <f aca="false">IF(D5&gt;=0,Eq_At_Launch-(Eq_At_Launch-Eq_At_Retire)*MIN(1,1/(Target_Year-Launch_Year)),IF(Glide_Type=1,Eq_At_Retire,MAX(Eq_Post_Retire,Eq_At_Retire-(Eq_At_Retire-Eq_Post_Retire)*MIN(1,-D5/10))))</f>
        <v>0.883333333333333</v>
      </c>
      <c r="E6" s="32" t="n">
        <f aca="false">IF(E5&gt;=0,Eq_At_Launch-(Eq_At_Launch-Eq_At_Retire)*MIN(1,2/(Target_Year-Launch_Year)),IF(Glide_Type=1,Eq_At_Retire,MAX(Eq_Post_Retire,Eq_At_Retire-(Eq_At_Retire-Eq_Post_Retire)*MIN(1,-E5/10))))</f>
        <v>0.866666666666667</v>
      </c>
      <c r="F6" s="32" t="n">
        <f aca="false">IF(F5&gt;=0,Eq_At_Launch-(Eq_At_Launch-Eq_At_Retire)*MIN(1,3/(Target_Year-Launch_Year)),IF(Glide_Type=1,Eq_At_Retire,MAX(Eq_Post_Retire,Eq_At_Retire-(Eq_At_Retire-Eq_Post_Retire)*MIN(1,-F5/10))))</f>
        <v>0.85</v>
      </c>
      <c r="G6" s="32" t="n">
        <f aca="false">IF(G5&gt;=0,Eq_At_Launch-(Eq_At_Launch-Eq_At_Retire)*MIN(1,4/(Target_Year-Launch_Year)),IF(Glide_Type=1,Eq_At_Retire,MAX(Eq_Post_Retire,Eq_At_Retire-(Eq_At_Retire-Eq_Post_Retire)*MIN(1,-G5/10))))</f>
        <v>0.833333333333333</v>
      </c>
      <c r="H6" s="32" t="n">
        <f aca="false">IF(H5&gt;=0,Eq_At_Launch-(Eq_At_Launch-Eq_At_Retire)*MIN(1,5/(Target_Year-Launch_Year)),IF(Glide_Type=1,Eq_At_Retire,MAX(Eq_Post_Retire,Eq_At_Retire-(Eq_At_Retire-Eq_Post_Retire)*MIN(1,-H5/10))))</f>
        <v>0.816666666666667</v>
      </c>
      <c r="I6" s="32" t="n">
        <f aca="false">IF(I5&gt;=0,Eq_At_Launch-(Eq_At_Launch-Eq_At_Retire)*MIN(1,6/(Target_Year-Launch_Year)),IF(Glide_Type=1,Eq_At_Retire,MAX(Eq_Post_Retire,Eq_At_Retire-(Eq_At_Retire-Eq_Post_Retire)*MIN(1,-I5/10))))</f>
        <v>0.8</v>
      </c>
      <c r="J6" s="32" t="n">
        <f aca="false">IF(J5&gt;=0,Eq_At_Launch-(Eq_At_Launch-Eq_At_Retire)*MIN(1,7/(Target_Year-Launch_Year)),IF(Glide_Type=1,Eq_At_Retire,MAX(Eq_Post_Retire,Eq_At_Retire-(Eq_At_Retire-Eq_Post_Retire)*MIN(1,-J5/10))))</f>
        <v>0.783333333333333</v>
      </c>
      <c r="K6" s="32" t="n">
        <f aca="false">IF(K5&gt;=0,Eq_At_Launch-(Eq_At_Launch-Eq_At_Retire)*MIN(1,8/(Target_Year-Launch_Year)),IF(Glide_Type=1,Eq_At_Retire,MAX(Eq_Post_Retire,Eq_At_Retire-(Eq_At_Retire-Eq_Post_Retire)*MIN(1,-K5/10))))</f>
        <v>0.766666666666667</v>
      </c>
      <c r="L6" s="32" t="n">
        <f aca="false">IF(L5&gt;=0,Eq_At_Launch-(Eq_At_Launch-Eq_At_Retire)*MIN(1,9/(Target_Year-Launch_Year)),IF(Glide_Type=1,Eq_At_Retire,MAX(Eq_Post_Retire,Eq_At_Retire-(Eq_At_Retire-Eq_Post_Retire)*MIN(1,-L5/10))))</f>
        <v>0.75</v>
      </c>
      <c r="M6" s="32" t="n">
        <f aca="false">IF(M5&gt;=0,Eq_At_Launch-(Eq_At_Launch-Eq_At_Retire)*MIN(1,10/(Target_Year-Launch_Year)),IF(Glide_Type=1,Eq_At_Retire,MAX(Eq_Post_Retire,Eq_At_Retire-(Eq_At_Retire-Eq_Post_Retire)*MIN(1,-M5/10))))</f>
        <v>0.733333333333333</v>
      </c>
      <c r="N6" s="32" t="n">
        <f aca="false">IF(N5&gt;=0,Eq_At_Launch-(Eq_At_Launch-Eq_At_Retire)*MIN(1,11/(Target_Year-Launch_Year)),IF(Glide_Type=1,Eq_At_Retire,MAX(Eq_Post_Retire,Eq_At_Retire-(Eq_At_Retire-Eq_Post_Retire)*MIN(1,-N5/10))))</f>
        <v>0.716666666666667</v>
      </c>
      <c r="O6" s="32" t="n">
        <f aca="false">IF(O5&gt;=0,Eq_At_Launch-(Eq_At_Launch-Eq_At_Retire)*MIN(1,12/(Target_Year-Launch_Year)),IF(Glide_Type=1,Eq_At_Retire,MAX(Eq_Post_Retire,Eq_At_Retire-(Eq_At_Retire-Eq_Post_Retire)*MIN(1,-O5/10))))</f>
        <v>0.7</v>
      </c>
      <c r="P6" s="32" t="n">
        <f aca="false">IF(P5&gt;=0,Eq_At_Launch-(Eq_At_Launch-Eq_At_Retire)*MIN(1,13/(Target_Year-Launch_Year)),IF(Glide_Type=1,Eq_At_Retire,MAX(Eq_Post_Retire,Eq_At_Retire-(Eq_At_Retire-Eq_Post_Retire)*MIN(1,-P5/10))))</f>
        <v>0.683333333333333</v>
      </c>
      <c r="Q6" s="32" t="n">
        <f aca="false">IF(Q5&gt;=0,Eq_At_Launch-(Eq_At_Launch-Eq_At_Retire)*MIN(1,14/(Target_Year-Launch_Year)),IF(Glide_Type=1,Eq_At_Retire,MAX(Eq_Post_Retire,Eq_At_Retire-(Eq_At_Retire-Eq_Post_Retire)*MIN(1,-Q5/10))))</f>
        <v>0.666666666666667</v>
      </c>
      <c r="R6" s="32" t="n">
        <f aca="false">IF(R5&gt;=0,Eq_At_Launch-(Eq_At_Launch-Eq_At_Retire)*MIN(1,15/(Target_Year-Launch_Year)),IF(Glide_Type=1,Eq_At_Retire,MAX(Eq_Post_Retire,Eq_At_Retire-(Eq_At_Retire-Eq_Post_Retire)*MIN(1,-R5/10))))</f>
        <v>0.65</v>
      </c>
      <c r="S6" s="32" t="n">
        <f aca="false">IF(S5&gt;=0,Eq_At_Launch-(Eq_At_Launch-Eq_At_Retire)*MIN(1,16/(Target_Year-Launch_Year)),IF(Glide_Type=1,Eq_At_Retire,MAX(Eq_Post_Retire,Eq_At_Retire-(Eq_At_Retire-Eq_Post_Retire)*MIN(1,-S5/10))))</f>
        <v>0.633333333333333</v>
      </c>
      <c r="T6" s="32" t="n">
        <f aca="false">IF(T5&gt;=0,Eq_At_Launch-(Eq_At_Launch-Eq_At_Retire)*MIN(1,17/(Target_Year-Launch_Year)),IF(Glide_Type=1,Eq_At_Retire,MAX(Eq_Post_Retire,Eq_At_Retire-(Eq_At_Retire-Eq_Post_Retire)*MIN(1,-T5/10))))</f>
        <v>0.616666666666667</v>
      </c>
      <c r="U6" s="32" t="n">
        <f aca="false">IF(U5&gt;=0,Eq_At_Launch-(Eq_At_Launch-Eq_At_Retire)*MIN(1,18/(Target_Year-Launch_Year)),IF(Glide_Type=1,Eq_At_Retire,MAX(Eq_Post_Retire,Eq_At_Retire-(Eq_At_Retire-Eq_Post_Retire)*MIN(1,-U5/10))))</f>
        <v>0.6</v>
      </c>
      <c r="V6" s="32" t="n">
        <f aca="false">IF(V5&gt;=0,Eq_At_Launch-(Eq_At_Launch-Eq_At_Retire)*MIN(1,19/(Target_Year-Launch_Year)),IF(Glide_Type=1,Eq_At_Retire,MAX(Eq_Post_Retire,Eq_At_Retire-(Eq_At_Retire-Eq_Post_Retire)*MIN(1,-V5/10))))</f>
        <v>0.583333333333333</v>
      </c>
      <c r="W6" s="32" t="n">
        <f aca="false">IF(W5&gt;=0,Eq_At_Launch-(Eq_At_Launch-Eq_At_Retire)*MIN(1,20/(Target_Year-Launch_Year)),IF(Glide_Type=1,Eq_At_Retire,MAX(Eq_Post_Retire,Eq_At_Retire-(Eq_At_Retire-Eq_Post_Retire)*MIN(1,-W5/10))))</f>
        <v>0.566666666666667</v>
      </c>
      <c r="X6" s="32" t="n">
        <f aca="false">IF(X5&gt;=0,Eq_At_Launch-(Eq_At_Launch-Eq_At_Retire)*MIN(1,21/(Target_Year-Launch_Year)),IF(Glide_Type=1,Eq_At_Retire,MAX(Eq_Post_Retire,Eq_At_Retire-(Eq_At_Retire-Eq_Post_Retire)*MIN(1,-X5/10))))</f>
        <v>0.55</v>
      </c>
      <c r="Y6" s="32" t="n">
        <f aca="false">IF(Y5&gt;=0,Eq_At_Launch-(Eq_At_Launch-Eq_At_Retire)*MIN(1,22/(Target_Year-Launch_Year)),IF(Glide_Type=1,Eq_At_Retire,MAX(Eq_Post_Retire,Eq_At_Retire-(Eq_At_Retire-Eq_Post_Retire)*MIN(1,-Y5/10))))</f>
        <v>0.533333333333333</v>
      </c>
      <c r="Z6" s="32" t="n">
        <f aca="false">IF(Z5&gt;=0,Eq_At_Launch-(Eq_At_Launch-Eq_At_Retire)*MIN(1,23/(Target_Year-Launch_Year)),IF(Glide_Type=1,Eq_At_Retire,MAX(Eq_Post_Retire,Eq_At_Retire-(Eq_At_Retire-Eq_Post_Retire)*MIN(1,-Z5/10))))</f>
        <v>0.516666666666667</v>
      </c>
      <c r="AA6" s="32" t="n">
        <f aca="false">IF(AA5&gt;=0,Eq_At_Launch-(Eq_At_Launch-Eq_At_Retire)*MIN(1,24/(Target_Year-Launch_Year)),IF(Glide_Type=1,Eq_At_Retire,MAX(Eq_Post_Retire,Eq_At_Retire-(Eq_At_Retire-Eq_Post_Retire)*MIN(1,-AA5/10))))</f>
        <v>0.5</v>
      </c>
      <c r="AB6" s="32" t="n">
        <f aca="false">IF(AB5&gt;=0,Eq_At_Launch-(Eq_At_Launch-Eq_At_Retire)*MIN(1,25/(Target_Year-Launch_Year)),IF(Glide_Type=1,Eq_At_Retire,MAX(Eq_Post_Retire,Eq_At_Retire-(Eq_At_Retire-Eq_Post_Retire)*MIN(1,-AB5/10))))</f>
        <v>0.483333333333333</v>
      </c>
      <c r="AC6" s="32" t="n">
        <f aca="false">IF(AC5&gt;=0,Eq_At_Launch-(Eq_At_Launch-Eq_At_Retire)*MIN(1,26/(Target_Year-Launch_Year)),IF(Glide_Type=1,Eq_At_Retire,MAX(Eq_Post_Retire,Eq_At_Retire-(Eq_At_Retire-Eq_Post_Retire)*MIN(1,-AC5/10))))</f>
        <v>0.466666666666667</v>
      </c>
      <c r="AD6" s="32" t="n">
        <f aca="false">IF(AD5&gt;=0,Eq_At_Launch-(Eq_At_Launch-Eq_At_Retire)*MIN(1,27/(Target_Year-Launch_Year)),IF(Glide_Type=1,Eq_At_Retire,MAX(Eq_Post_Retire,Eq_At_Retire-(Eq_At_Retire-Eq_Post_Retire)*MIN(1,-AD5/10))))</f>
        <v>0.45</v>
      </c>
      <c r="AE6" s="32" t="n">
        <f aca="false">IF(AE5&gt;=0,Eq_At_Launch-(Eq_At_Launch-Eq_At_Retire)*MIN(1,28/(Target_Year-Launch_Year)),IF(Glide_Type=1,Eq_At_Retire,MAX(Eq_Post_Retire,Eq_At_Retire-(Eq_At_Retire-Eq_Post_Retire)*MIN(1,-AE5/10))))</f>
        <v>0.433333333333333</v>
      </c>
      <c r="AF6" s="32" t="n">
        <f aca="false">IF(AF5&gt;=0,Eq_At_Launch-(Eq_At_Launch-Eq_At_Retire)*MIN(1,29/(Target_Year-Launch_Year)),IF(Glide_Type=1,Eq_At_Retire,MAX(Eq_Post_Retire,Eq_At_Retire-(Eq_At_Retire-Eq_Post_Retire)*MIN(1,-AF5/10))))</f>
        <v>0.416666666666667</v>
      </c>
    </row>
    <row r="7" customFormat="false" ht="15" hidden="false" customHeight="false" outlineLevel="0" collapsed="false">
      <c r="A7" s="6"/>
      <c r="B7" s="23" t="s">
        <v>115</v>
      </c>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row>
    <row r="8" customFormat="false" ht="15" hidden="false" customHeight="false" outlineLevel="0" collapsed="false">
      <c r="A8" s="6"/>
      <c r="B8" s="10" t="s">
        <v>68</v>
      </c>
      <c r="C8" s="33" t="n">
        <f aca="false">C6*0.6</f>
        <v>0.54</v>
      </c>
      <c r="D8" s="33" t="n">
        <f aca="false">D6*0.6</f>
        <v>0.53</v>
      </c>
      <c r="E8" s="33" t="n">
        <f aca="false">E6*0.6</f>
        <v>0.52</v>
      </c>
      <c r="F8" s="33" t="n">
        <f aca="false">F6*0.6</f>
        <v>0.51</v>
      </c>
      <c r="G8" s="33" t="n">
        <f aca="false">G6*0.6</f>
        <v>0.5</v>
      </c>
      <c r="H8" s="33" t="n">
        <f aca="false">H6*0.6</f>
        <v>0.49</v>
      </c>
      <c r="I8" s="33" t="n">
        <f aca="false">I6*0.6</f>
        <v>0.48</v>
      </c>
      <c r="J8" s="33" t="n">
        <f aca="false">J6*0.6</f>
        <v>0.47</v>
      </c>
      <c r="K8" s="33" t="n">
        <f aca="false">K6*0.6</f>
        <v>0.46</v>
      </c>
      <c r="L8" s="33" t="n">
        <f aca="false">L6*0.6</f>
        <v>0.45</v>
      </c>
      <c r="M8" s="33" t="n">
        <f aca="false">M6*0.6</f>
        <v>0.44</v>
      </c>
      <c r="N8" s="33" t="n">
        <f aca="false">N6*0.6</f>
        <v>0.43</v>
      </c>
      <c r="O8" s="33" t="n">
        <f aca="false">O6*0.6</f>
        <v>0.42</v>
      </c>
      <c r="P8" s="33" t="n">
        <f aca="false">P6*0.6</f>
        <v>0.41</v>
      </c>
      <c r="Q8" s="33" t="n">
        <f aca="false">Q6*0.6</f>
        <v>0.4</v>
      </c>
      <c r="R8" s="33" t="n">
        <f aca="false">R6*0.6</f>
        <v>0.39</v>
      </c>
      <c r="S8" s="33" t="n">
        <f aca="false">S6*0.6</f>
        <v>0.38</v>
      </c>
      <c r="T8" s="33" t="n">
        <f aca="false">T6*0.6</f>
        <v>0.37</v>
      </c>
      <c r="U8" s="33" t="n">
        <f aca="false">U6*0.6</f>
        <v>0.36</v>
      </c>
      <c r="V8" s="33" t="n">
        <f aca="false">V6*0.6</f>
        <v>0.35</v>
      </c>
      <c r="W8" s="33" t="n">
        <f aca="false">W6*0.6</f>
        <v>0.34</v>
      </c>
      <c r="X8" s="33" t="n">
        <f aca="false">X6*0.6</f>
        <v>0.33</v>
      </c>
      <c r="Y8" s="33" t="n">
        <f aca="false">Y6*0.6</f>
        <v>0.32</v>
      </c>
      <c r="Z8" s="33" t="n">
        <f aca="false">Z6*0.6</f>
        <v>0.31</v>
      </c>
      <c r="AA8" s="33" t="n">
        <f aca="false">AA6*0.6</f>
        <v>0.3</v>
      </c>
      <c r="AB8" s="33" t="n">
        <f aca="false">AB6*0.6</f>
        <v>0.29</v>
      </c>
      <c r="AC8" s="33" t="n">
        <f aca="false">AC6*0.6</f>
        <v>0.28</v>
      </c>
      <c r="AD8" s="33" t="n">
        <f aca="false">AD6*0.6</f>
        <v>0.27</v>
      </c>
      <c r="AE8" s="33" t="n">
        <f aca="false">AE6*0.6</f>
        <v>0.26</v>
      </c>
      <c r="AF8" s="33" t="n">
        <f aca="false">AF6*0.6</f>
        <v>0.25</v>
      </c>
    </row>
    <row r="9" customFormat="false" ht="15" hidden="false" customHeight="false" outlineLevel="0" collapsed="false">
      <c r="A9" s="6"/>
      <c r="B9" s="10" t="s">
        <v>70</v>
      </c>
      <c r="C9" s="33" t="n">
        <f aca="false">C6*0.4</f>
        <v>0.36</v>
      </c>
      <c r="D9" s="33" t="n">
        <f aca="false">D6*0.4</f>
        <v>0.353333333333333</v>
      </c>
      <c r="E9" s="33" t="n">
        <f aca="false">E6*0.4</f>
        <v>0.346666666666667</v>
      </c>
      <c r="F9" s="33" t="n">
        <f aca="false">F6*0.4</f>
        <v>0.34</v>
      </c>
      <c r="G9" s="33" t="n">
        <f aca="false">G6*0.4</f>
        <v>0.333333333333333</v>
      </c>
      <c r="H9" s="33" t="n">
        <f aca="false">H6*0.4</f>
        <v>0.326666666666667</v>
      </c>
      <c r="I9" s="33" t="n">
        <f aca="false">I6*0.4</f>
        <v>0.32</v>
      </c>
      <c r="J9" s="33" t="n">
        <f aca="false">J6*0.4</f>
        <v>0.313333333333333</v>
      </c>
      <c r="K9" s="33" t="n">
        <f aca="false">K6*0.4</f>
        <v>0.306666666666667</v>
      </c>
      <c r="L9" s="33" t="n">
        <f aca="false">L6*0.4</f>
        <v>0.3</v>
      </c>
      <c r="M9" s="33" t="n">
        <f aca="false">M6*0.4</f>
        <v>0.293333333333333</v>
      </c>
      <c r="N9" s="33" t="n">
        <f aca="false">N6*0.4</f>
        <v>0.286666666666667</v>
      </c>
      <c r="O9" s="33" t="n">
        <f aca="false">O6*0.4</f>
        <v>0.28</v>
      </c>
      <c r="P9" s="33" t="n">
        <f aca="false">P6*0.4</f>
        <v>0.273333333333333</v>
      </c>
      <c r="Q9" s="33" t="n">
        <f aca="false">Q6*0.4</f>
        <v>0.266666666666667</v>
      </c>
      <c r="R9" s="33" t="n">
        <f aca="false">R6*0.4</f>
        <v>0.26</v>
      </c>
      <c r="S9" s="33" t="n">
        <f aca="false">S6*0.4</f>
        <v>0.253333333333333</v>
      </c>
      <c r="T9" s="33" t="n">
        <f aca="false">T6*0.4</f>
        <v>0.246666666666667</v>
      </c>
      <c r="U9" s="33" t="n">
        <f aca="false">U6*0.4</f>
        <v>0.24</v>
      </c>
      <c r="V9" s="33" t="n">
        <f aca="false">V6*0.4</f>
        <v>0.233333333333333</v>
      </c>
      <c r="W9" s="33" t="n">
        <f aca="false">W6*0.4</f>
        <v>0.226666666666667</v>
      </c>
      <c r="X9" s="33" t="n">
        <f aca="false">X6*0.4</f>
        <v>0.22</v>
      </c>
      <c r="Y9" s="33" t="n">
        <f aca="false">Y6*0.4</f>
        <v>0.213333333333333</v>
      </c>
      <c r="Z9" s="33" t="n">
        <f aca="false">Z6*0.4</f>
        <v>0.206666666666667</v>
      </c>
      <c r="AA9" s="33" t="n">
        <f aca="false">AA6*0.4</f>
        <v>0.2</v>
      </c>
      <c r="AB9" s="33" t="n">
        <f aca="false">AB6*0.4</f>
        <v>0.193333333333333</v>
      </c>
      <c r="AC9" s="33" t="n">
        <f aca="false">AC6*0.4</f>
        <v>0.186666666666667</v>
      </c>
      <c r="AD9" s="33" t="n">
        <f aca="false">AD6*0.4</f>
        <v>0.18</v>
      </c>
      <c r="AE9" s="33" t="n">
        <f aca="false">AE6*0.4</f>
        <v>0.173333333333333</v>
      </c>
      <c r="AF9" s="33" t="n">
        <f aca="false">AF6*0.4</f>
        <v>0.166666666666667</v>
      </c>
    </row>
    <row r="10" customFormat="false" ht="15" hidden="false" customHeight="false" outlineLevel="0" collapsed="false">
      <c r="A10" s="6"/>
      <c r="B10" s="10" t="s">
        <v>71</v>
      </c>
      <c r="C10" s="33" t="n">
        <f aca="false">(1-C6)*0.7</f>
        <v>0.07</v>
      </c>
      <c r="D10" s="33" t="n">
        <f aca="false">(1-D6)*0.7</f>
        <v>0.0816666666666667</v>
      </c>
      <c r="E10" s="33" t="n">
        <f aca="false">(1-E6)*0.7</f>
        <v>0.0933333333333333</v>
      </c>
      <c r="F10" s="33" t="n">
        <f aca="false">(1-F6)*0.7</f>
        <v>0.105</v>
      </c>
      <c r="G10" s="33" t="n">
        <f aca="false">(1-G6)*0.7</f>
        <v>0.116666666666667</v>
      </c>
      <c r="H10" s="33" t="n">
        <f aca="false">(1-H6)*0.7</f>
        <v>0.128333333333333</v>
      </c>
      <c r="I10" s="33" t="n">
        <f aca="false">(1-I6)*0.7</f>
        <v>0.14</v>
      </c>
      <c r="J10" s="33" t="n">
        <f aca="false">(1-J6)*0.7</f>
        <v>0.151666666666667</v>
      </c>
      <c r="K10" s="33" t="n">
        <f aca="false">(1-K6)*0.7</f>
        <v>0.163333333333333</v>
      </c>
      <c r="L10" s="33" t="n">
        <f aca="false">(1-L6)*0.7</f>
        <v>0.175</v>
      </c>
      <c r="M10" s="33" t="n">
        <f aca="false">(1-M6)*0.7</f>
        <v>0.186666666666667</v>
      </c>
      <c r="N10" s="33" t="n">
        <f aca="false">(1-N6)*0.7</f>
        <v>0.198333333333333</v>
      </c>
      <c r="O10" s="33" t="n">
        <f aca="false">(1-O6)*0.7</f>
        <v>0.21</v>
      </c>
      <c r="P10" s="33" t="n">
        <f aca="false">(1-P6)*0.7</f>
        <v>0.221666666666667</v>
      </c>
      <c r="Q10" s="33" t="n">
        <f aca="false">(1-Q6)*0.7</f>
        <v>0.233333333333333</v>
      </c>
      <c r="R10" s="33" t="n">
        <f aca="false">(1-R6)*0.7</f>
        <v>0.245</v>
      </c>
      <c r="S10" s="33" t="n">
        <f aca="false">(1-S6)*0.7</f>
        <v>0.256666666666667</v>
      </c>
      <c r="T10" s="33" t="n">
        <f aca="false">(1-T6)*0.7</f>
        <v>0.268333333333333</v>
      </c>
      <c r="U10" s="33" t="n">
        <f aca="false">(1-U6)*0.7</f>
        <v>0.28</v>
      </c>
      <c r="V10" s="33" t="n">
        <f aca="false">(1-V6)*0.7</f>
        <v>0.291666666666667</v>
      </c>
      <c r="W10" s="33" t="n">
        <f aca="false">(1-W6)*0.7</f>
        <v>0.303333333333333</v>
      </c>
      <c r="X10" s="33" t="n">
        <f aca="false">(1-X6)*0.7</f>
        <v>0.315</v>
      </c>
      <c r="Y10" s="33" t="n">
        <f aca="false">(1-Y6)*0.7</f>
        <v>0.326666666666667</v>
      </c>
      <c r="Z10" s="33" t="n">
        <f aca="false">(1-Z6)*0.7</f>
        <v>0.338333333333333</v>
      </c>
      <c r="AA10" s="33" t="n">
        <f aca="false">(1-AA6)*0.7</f>
        <v>0.35</v>
      </c>
      <c r="AB10" s="33" t="n">
        <f aca="false">(1-AB6)*0.7</f>
        <v>0.361666666666667</v>
      </c>
      <c r="AC10" s="33" t="n">
        <f aca="false">(1-AC6)*0.7</f>
        <v>0.373333333333333</v>
      </c>
      <c r="AD10" s="33" t="n">
        <f aca="false">(1-AD6)*0.7</f>
        <v>0.385</v>
      </c>
      <c r="AE10" s="33" t="n">
        <f aca="false">(1-AE6)*0.7</f>
        <v>0.396666666666667</v>
      </c>
      <c r="AF10" s="33" t="n">
        <f aca="false">(1-AF6)*0.7</f>
        <v>0.408333333333333</v>
      </c>
    </row>
    <row r="11" customFormat="false" ht="15" hidden="false" customHeight="false" outlineLevel="0" collapsed="false">
      <c r="A11" s="6"/>
      <c r="B11" s="10" t="s">
        <v>116</v>
      </c>
      <c r="C11" s="33" t="n">
        <f aca="false">(1-C6)*0.2</f>
        <v>0.02</v>
      </c>
      <c r="D11" s="33" t="n">
        <f aca="false">(1-D6)*0.2</f>
        <v>0.0233333333333333</v>
      </c>
      <c r="E11" s="33" t="n">
        <f aca="false">(1-E6)*0.2</f>
        <v>0.0266666666666667</v>
      </c>
      <c r="F11" s="33" t="n">
        <f aca="false">(1-F6)*0.2</f>
        <v>0.03</v>
      </c>
      <c r="G11" s="33" t="n">
        <f aca="false">(1-G6)*0.2</f>
        <v>0.0333333333333333</v>
      </c>
      <c r="H11" s="33" t="n">
        <f aca="false">(1-H6)*0.2</f>
        <v>0.0366666666666667</v>
      </c>
      <c r="I11" s="33" t="n">
        <f aca="false">(1-I6)*0.2</f>
        <v>0.04</v>
      </c>
      <c r="J11" s="33" t="n">
        <f aca="false">(1-J6)*0.2</f>
        <v>0.0433333333333333</v>
      </c>
      <c r="K11" s="33" t="n">
        <f aca="false">(1-K6)*0.2</f>
        <v>0.0466666666666667</v>
      </c>
      <c r="L11" s="33" t="n">
        <f aca="false">(1-L6)*0.2</f>
        <v>0.05</v>
      </c>
      <c r="M11" s="33" t="n">
        <f aca="false">(1-M6)*0.2</f>
        <v>0.0533333333333333</v>
      </c>
      <c r="N11" s="33" t="n">
        <f aca="false">(1-N6)*0.2</f>
        <v>0.0566666666666667</v>
      </c>
      <c r="O11" s="33" t="n">
        <f aca="false">(1-O6)*0.2</f>
        <v>0.06</v>
      </c>
      <c r="P11" s="33" t="n">
        <f aca="false">(1-P6)*0.2</f>
        <v>0.0633333333333333</v>
      </c>
      <c r="Q11" s="33" t="n">
        <f aca="false">(1-Q6)*0.2</f>
        <v>0.0666666666666667</v>
      </c>
      <c r="R11" s="33" t="n">
        <f aca="false">(1-R6)*0.2</f>
        <v>0.07</v>
      </c>
      <c r="S11" s="33" t="n">
        <f aca="false">(1-S6)*0.2</f>
        <v>0.0733333333333334</v>
      </c>
      <c r="T11" s="33" t="n">
        <f aca="false">(1-T6)*0.2</f>
        <v>0.0766666666666667</v>
      </c>
      <c r="U11" s="33" t="n">
        <f aca="false">(1-U6)*0.2</f>
        <v>0.08</v>
      </c>
      <c r="V11" s="33" t="n">
        <f aca="false">(1-V6)*0.2</f>
        <v>0.0833333333333333</v>
      </c>
      <c r="W11" s="33" t="n">
        <f aca="false">(1-W6)*0.2</f>
        <v>0.0866666666666667</v>
      </c>
      <c r="X11" s="33" t="n">
        <f aca="false">(1-X6)*0.2</f>
        <v>0.09</v>
      </c>
      <c r="Y11" s="33" t="n">
        <f aca="false">(1-Y6)*0.2</f>
        <v>0.0933333333333333</v>
      </c>
      <c r="Z11" s="33" t="n">
        <f aca="false">(1-Z6)*0.2</f>
        <v>0.0966666666666667</v>
      </c>
      <c r="AA11" s="33" t="n">
        <f aca="false">(1-AA6)*0.2</f>
        <v>0.1</v>
      </c>
      <c r="AB11" s="33" t="n">
        <f aca="false">(1-AB6)*0.2</f>
        <v>0.103333333333333</v>
      </c>
      <c r="AC11" s="33" t="n">
        <f aca="false">(1-AC6)*0.2</f>
        <v>0.106666666666667</v>
      </c>
      <c r="AD11" s="33" t="n">
        <f aca="false">(1-AD6)*0.2</f>
        <v>0.11</v>
      </c>
      <c r="AE11" s="33" t="n">
        <f aca="false">(1-AE6)*0.2</f>
        <v>0.113333333333333</v>
      </c>
      <c r="AF11" s="33" t="n">
        <f aca="false">(1-AF6)*0.2</f>
        <v>0.116666666666667</v>
      </c>
    </row>
    <row r="12" customFormat="false" ht="15" hidden="false" customHeight="false" outlineLevel="0" collapsed="false">
      <c r="A12" s="6"/>
      <c r="B12" s="10" t="s">
        <v>117</v>
      </c>
      <c r="C12" s="33" t="n">
        <f aca="false">1-C8-C9-C10-C11</f>
        <v>0.00999999999999995</v>
      </c>
      <c r="D12" s="33" t="n">
        <f aca="false">1-D8-D9-D10-D11</f>
        <v>0.0116666666666667</v>
      </c>
      <c r="E12" s="33" t="n">
        <f aca="false">1-E8-E9-E10-E11</f>
        <v>0.0133333333333333</v>
      </c>
      <c r="F12" s="33" t="n">
        <f aca="false">1-F8-F9-F10-F11</f>
        <v>0.015</v>
      </c>
      <c r="G12" s="33" t="n">
        <f aca="false">1-G8-G9-G10-G11</f>
        <v>0.0166666666666667</v>
      </c>
      <c r="H12" s="33" t="n">
        <f aca="false">1-H8-H9-H10-H11</f>
        <v>0.0183333333333333</v>
      </c>
      <c r="I12" s="33" t="n">
        <f aca="false">1-I8-I9-I10-I11</f>
        <v>0.02</v>
      </c>
      <c r="J12" s="33" t="n">
        <f aca="false">1-J8-J9-J10-J11</f>
        <v>0.0216666666666667</v>
      </c>
      <c r="K12" s="33" t="n">
        <f aca="false">1-K8-K9-K10-K11</f>
        <v>0.0233333333333334</v>
      </c>
      <c r="L12" s="33" t="n">
        <f aca="false">1-L8-L9-L10-L11</f>
        <v>0.025</v>
      </c>
      <c r="M12" s="33" t="n">
        <f aca="false">1-M8-M9-M10-M11</f>
        <v>0.0266666666666667</v>
      </c>
      <c r="N12" s="33" t="n">
        <f aca="false">1-N8-N9-N10-N11</f>
        <v>0.0283333333333334</v>
      </c>
      <c r="O12" s="33" t="n">
        <f aca="false">1-O8-O9-O10-O11</f>
        <v>0.0300000000000001</v>
      </c>
      <c r="P12" s="33" t="n">
        <f aca="false">1-P8-P9-P10-P11</f>
        <v>0.0316666666666667</v>
      </c>
      <c r="Q12" s="33" t="n">
        <f aca="false">1-Q8-Q9-Q10-Q11</f>
        <v>0.0333333333333334</v>
      </c>
      <c r="R12" s="33" t="n">
        <f aca="false">1-R8-R9-R10-R11</f>
        <v>0.035</v>
      </c>
      <c r="S12" s="33" t="n">
        <f aca="false">1-S8-S9-S10-S11</f>
        <v>0.0366666666666668</v>
      </c>
      <c r="T12" s="33" t="n">
        <f aca="false">1-T8-T9-T10-T11</f>
        <v>0.0383333333333333</v>
      </c>
      <c r="U12" s="33" t="n">
        <f aca="false">1-U8-U9-U10-U11</f>
        <v>0.04</v>
      </c>
      <c r="V12" s="33" t="n">
        <f aca="false">1-V8-V9-V10-V11</f>
        <v>0.0416666666666666</v>
      </c>
      <c r="W12" s="33" t="n">
        <f aca="false">1-W8-W9-W10-W11</f>
        <v>0.0433333333333333</v>
      </c>
      <c r="X12" s="33" t="n">
        <f aca="false">1-X8-X9-X10-X11</f>
        <v>0.045</v>
      </c>
      <c r="Y12" s="33" t="n">
        <f aca="false">1-Y8-Y9-Y10-Y11</f>
        <v>0.0466666666666667</v>
      </c>
      <c r="Z12" s="33" t="n">
        <f aca="false">1-Z8-Z9-Z10-Z11</f>
        <v>0.0483333333333333</v>
      </c>
      <c r="AA12" s="33" t="n">
        <f aca="false">1-AA8-AA9-AA10-AA11</f>
        <v>0.05</v>
      </c>
      <c r="AB12" s="33" t="n">
        <f aca="false">1-AB8-AB9-AB10-AB11</f>
        <v>0.0516666666666667</v>
      </c>
      <c r="AC12" s="33" t="n">
        <f aca="false">1-AC8-AC9-AC10-AC11</f>
        <v>0.0533333333333334</v>
      </c>
      <c r="AD12" s="33" t="n">
        <f aca="false">1-AD8-AD9-AD10-AD11</f>
        <v>0.0549999999999999</v>
      </c>
      <c r="AE12" s="33" t="n">
        <f aca="false">1-AE8-AE9-AE10-AE11</f>
        <v>0.0566666666666667</v>
      </c>
      <c r="AF12" s="33" t="n">
        <f aca="false">1-AF8-AF9-AF10-AF11</f>
        <v>0.0583333333333333</v>
      </c>
    </row>
    <row r="13" customFormat="false" ht="15" hidden="false" customHeight="false" outlineLevel="0" collapsed="false">
      <c r="A13" s="6"/>
      <c r="B13" s="23" t="s">
        <v>118</v>
      </c>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row>
    <row r="14" customFormat="false" ht="15" hidden="false" customHeight="false" outlineLevel="0" collapsed="false">
      <c r="A14" s="6"/>
      <c r="B14" s="7" t="s">
        <v>119</v>
      </c>
      <c r="C14" s="34" t="n">
        <f aca="false">C8+C9+C10+C11+C12</f>
        <v>1</v>
      </c>
      <c r="D14" s="34" t="n">
        <f aca="false">D8+D9+D10+D11+D12</f>
        <v>1</v>
      </c>
      <c r="E14" s="34" t="n">
        <f aca="false">E8+E9+E10+E11+E12</f>
        <v>1</v>
      </c>
      <c r="F14" s="34" t="n">
        <f aca="false">F8+F9+F10+F11+F12</f>
        <v>1</v>
      </c>
      <c r="G14" s="34" t="n">
        <f aca="false">G8+G9+G10+G11+G12</f>
        <v>1</v>
      </c>
      <c r="H14" s="34" t="n">
        <f aca="false">H8+H9+H10+H11+H12</f>
        <v>1</v>
      </c>
      <c r="I14" s="34" t="n">
        <f aca="false">I8+I9+I10+I11+I12</f>
        <v>1</v>
      </c>
      <c r="J14" s="34" t="n">
        <f aca="false">J8+J9+J10+J11+J12</f>
        <v>1</v>
      </c>
      <c r="K14" s="34" t="n">
        <f aca="false">K8+K9+K10+K11+K12</f>
        <v>1</v>
      </c>
      <c r="L14" s="34" t="n">
        <f aca="false">L8+L9+L10+L11+L12</f>
        <v>1</v>
      </c>
      <c r="M14" s="34" t="n">
        <f aca="false">M8+M9+M10+M11+M12</f>
        <v>1</v>
      </c>
      <c r="N14" s="34" t="n">
        <f aca="false">N8+N9+N10+N11+N12</f>
        <v>1</v>
      </c>
      <c r="O14" s="34" t="n">
        <f aca="false">O8+O9+O10+O11+O12</f>
        <v>1</v>
      </c>
      <c r="P14" s="34" t="n">
        <f aca="false">P8+P9+P10+P11+P12</f>
        <v>1</v>
      </c>
      <c r="Q14" s="34" t="n">
        <f aca="false">Q8+Q9+Q10+Q11+Q12</f>
        <v>1</v>
      </c>
      <c r="R14" s="34" t="n">
        <f aca="false">R8+R9+R10+R11+R12</f>
        <v>1</v>
      </c>
      <c r="S14" s="34" t="n">
        <f aca="false">S8+S9+S10+S11+S12</f>
        <v>1</v>
      </c>
      <c r="T14" s="34" t="n">
        <f aca="false">T8+T9+T10+T11+T12</f>
        <v>1</v>
      </c>
      <c r="U14" s="34" t="n">
        <f aca="false">U8+U9+U10+U11+U12</f>
        <v>1</v>
      </c>
      <c r="V14" s="34" t="n">
        <f aca="false">V8+V9+V10+V11+V12</f>
        <v>1</v>
      </c>
      <c r="W14" s="34" t="n">
        <f aca="false">W8+W9+W10+W11+W12</f>
        <v>1</v>
      </c>
      <c r="X14" s="34" t="n">
        <f aca="false">X8+X9+X10+X11+X12</f>
        <v>1</v>
      </c>
      <c r="Y14" s="34" t="n">
        <f aca="false">Y8+Y9+Y10+Y11+Y12</f>
        <v>1</v>
      </c>
      <c r="Z14" s="34" t="n">
        <f aca="false">Z8+Z9+Z10+Z11+Z12</f>
        <v>1</v>
      </c>
      <c r="AA14" s="34" t="n">
        <f aca="false">AA8+AA9+AA10+AA11+AA12</f>
        <v>1</v>
      </c>
      <c r="AB14" s="34" t="n">
        <f aca="false">AB8+AB9+AB10+AB11+AB12</f>
        <v>1</v>
      </c>
      <c r="AC14" s="34" t="n">
        <f aca="false">AC8+AC9+AC10+AC11+AC12</f>
        <v>1</v>
      </c>
      <c r="AD14" s="34" t="n">
        <f aca="false">AD8+AD9+AD10+AD11+AD12</f>
        <v>1</v>
      </c>
      <c r="AE14" s="34" t="n">
        <f aca="false">AE8+AE9+AE10+AE11+AE12</f>
        <v>1</v>
      </c>
      <c r="AF14" s="34" t="n">
        <f aca="false">AF8+AF9+AF10+AF11+AF12</f>
        <v>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F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4"/>
    <col collapsed="false" customWidth="true" hidden="false" outlineLevel="0" max="32" min="3" style="0" width="12"/>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6"/>
      <c r="AF1" s="6"/>
    </row>
    <row r="2" customFormat="false" ht="21.75" hidden="false" customHeight="true" outlineLevel="0" collapsed="false">
      <c r="A2" s="1"/>
      <c r="B2" s="21" t="s">
        <v>120</v>
      </c>
      <c r="C2" s="1"/>
      <c r="D2" s="1"/>
      <c r="E2" s="1"/>
      <c r="F2" s="1"/>
      <c r="G2" s="1"/>
      <c r="H2" s="1"/>
      <c r="I2" s="1"/>
      <c r="J2" s="1"/>
      <c r="K2" s="1"/>
      <c r="L2" s="1"/>
      <c r="M2" s="1"/>
      <c r="N2" s="1"/>
      <c r="O2" s="1"/>
      <c r="P2" s="1"/>
      <c r="Q2" s="1"/>
      <c r="R2" s="1"/>
      <c r="S2" s="1"/>
      <c r="T2" s="1"/>
      <c r="U2" s="1"/>
      <c r="V2" s="1"/>
      <c r="W2" s="1"/>
      <c r="X2" s="1"/>
      <c r="Y2" s="1"/>
      <c r="Z2" s="1"/>
      <c r="AA2" s="1"/>
      <c r="AB2" s="1"/>
      <c r="AC2" s="1"/>
      <c r="AD2" s="1"/>
      <c r="AE2" s="6"/>
      <c r="AF2" s="6"/>
    </row>
    <row r="3" customFormat="false" ht="15" hidden="false" customHeight="false" outlineLevel="0" collapsed="false">
      <c r="A3" s="1"/>
      <c r="B3" s="22" t="s">
        <v>121</v>
      </c>
      <c r="C3" s="1"/>
      <c r="D3" s="1"/>
      <c r="E3" s="1"/>
      <c r="F3" s="1"/>
      <c r="G3" s="1"/>
      <c r="H3" s="1"/>
      <c r="I3" s="1"/>
      <c r="J3" s="1"/>
      <c r="K3" s="1"/>
      <c r="L3" s="1"/>
      <c r="M3" s="1"/>
      <c r="N3" s="1"/>
      <c r="O3" s="1"/>
      <c r="P3" s="1"/>
      <c r="Q3" s="1"/>
      <c r="R3" s="1"/>
      <c r="S3" s="1"/>
      <c r="T3" s="1"/>
      <c r="U3" s="1"/>
      <c r="V3" s="1"/>
      <c r="W3" s="1"/>
      <c r="X3" s="1"/>
      <c r="Y3" s="1"/>
      <c r="Z3" s="1"/>
      <c r="AA3" s="1"/>
      <c r="AB3" s="1"/>
      <c r="AC3" s="1"/>
      <c r="AD3" s="1"/>
      <c r="AE3" s="6"/>
      <c r="AF3" s="6"/>
    </row>
    <row r="4" customFormat="false" ht="15" hidden="false" customHeight="false" outlineLevel="0" collapsed="false">
      <c r="A4" s="6"/>
      <c r="B4" s="29" t="s">
        <v>36</v>
      </c>
      <c r="C4" s="30" t="n">
        <f aca="false">Launch_Year+0</f>
        <v>2025</v>
      </c>
      <c r="D4" s="30" t="n">
        <f aca="false">Launch_Year+1</f>
        <v>2026</v>
      </c>
      <c r="E4" s="30" t="n">
        <f aca="false">Launch_Year+2</f>
        <v>2027</v>
      </c>
      <c r="F4" s="30" t="n">
        <f aca="false">Launch_Year+3</f>
        <v>2028</v>
      </c>
      <c r="G4" s="30" t="n">
        <f aca="false">Launch_Year+4</f>
        <v>2029</v>
      </c>
      <c r="H4" s="30" t="n">
        <f aca="false">Launch_Year+5</f>
        <v>2030</v>
      </c>
      <c r="I4" s="30" t="n">
        <f aca="false">Launch_Year+6</f>
        <v>2031</v>
      </c>
      <c r="J4" s="30" t="n">
        <f aca="false">Launch_Year+7</f>
        <v>2032</v>
      </c>
      <c r="K4" s="30" t="n">
        <f aca="false">Launch_Year+8</f>
        <v>2033</v>
      </c>
      <c r="L4" s="30" t="n">
        <f aca="false">Launch_Year+9</f>
        <v>2034</v>
      </c>
      <c r="M4" s="30" t="n">
        <f aca="false">Launch_Year+10</f>
        <v>2035</v>
      </c>
      <c r="N4" s="30" t="n">
        <f aca="false">Launch_Year+11</f>
        <v>2036</v>
      </c>
      <c r="O4" s="30" t="n">
        <f aca="false">Launch_Year+12</f>
        <v>2037</v>
      </c>
      <c r="P4" s="30" t="n">
        <f aca="false">Launch_Year+13</f>
        <v>2038</v>
      </c>
      <c r="Q4" s="30" t="n">
        <f aca="false">Launch_Year+14</f>
        <v>2039</v>
      </c>
      <c r="R4" s="30" t="n">
        <f aca="false">Launch_Year+15</f>
        <v>2040</v>
      </c>
      <c r="S4" s="30" t="n">
        <f aca="false">Launch_Year+16</f>
        <v>2041</v>
      </c>
      <c r="T4" s="30" t="n">
        <f aca="false">Launch_Year+17</f>
        <v>2042</v>
      </c>
      <c r="U4" s="30" t="n">
        <f aca="false">Launch_Year+18</f>
        <v>2043</v>
      </c>
      <c r="V4" s="30" t="n">
        <f aca="false">Launch_Year+19</f>
        <v>2044</v>
      </c>
      <c r="W4" s="30" t="n">
        <f aca="false">Launch_Year+20</f>
        <v>2045</v>
      </c>
      <c r="X4" s="30" t="n">
        <f aca="false">Launch_Year+21</f>
        <v>2046</v>
      </c>
      <c r="Y4" s="30" t="n">
        <f aca="false">Launch_Year+22</f>
        <v>2047</v>
      </c>
      <c r="Z4" s="30" t="n">
        <f aca="false">Launch_Year+23</f>
        <v>2048</v>
      </c>
      <c r="AA4" s="30" t="n">
        <f aca="false">Launch_Year+24</f>
        <v>2049</v>
      </c>
      <c r="AB4" s="30" t="n">
        <f aca="false">Launch_Year+25</f>
        <v>2050</v>
      </c>
      <c r="AC4" s="30" t="n">
        <f aca="false">Launch_Year+26</f>
        <v>2051</v>
      </c>
      <c r="AD4" s="30" t="n">
        <f aca="false">Launch_Year+27</f>
        <v>2052</v>
      </c>
      <c r="AE4" s="30" t="n">
        <f aca="false">Launch_Year+28</f>
        <v>2053</v>
      </c>
      <c r="AF4" s="30" t="n">
        <f aca="false">Launch_Year+29</f>
        <v>2054</v>
      </c>
    </row>
    <row r="5" customFormat="false" ht="15" hidden="false" customHeight="false" outlineLevel="0" collapsed="false">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row>
    <row r="6" customFormat="false" ht="15" hidden="false" customHeight="false" outlineLevel="0" collapsed="false">
      <c r="A6" s="6"/>
      <c r="B6" s="23" t="s">
        <v>122</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row>
    <row r="7" customFormat="false" ht="15" hidden="false" customHeight="false" outlineLevel="0" collapsed="false">
      <c r="A7" s="6"/>
      <c r="B7" s="10" t="s">
        <v>123</v>
      </c>
      <c r="C7" s="35" t="n">
        <f aca="false">Initial_AUM</f>
        <v>50</v>
      </c>
      <c r="D7" s="35" t="n">
        <f aca="false">C12</f>
        <v>173.8175</v>
      </c>
      <c r="E7" s="35" t="n">
        <f aca="false">D12</f>
        <v>316.559551479167</v>
      </c>
      <c r="F7" s="35" t="n">
        <f aca="false">E12</f>
        <v>480.227309899907</v>
      </c>
      <c r="G7" s="35" t="n">
        <f aca="false">F12</f>
        <v>666.989599246238</v>
      </c>
      <c r="H7" s="35" t="n">
        <f aca="false">G12</f>
        <v>879.194194537591</v>
      </c>
      <c r="I7" s="35" t="n">
        <f aca="false">H12</f>
        <v>1119.37969536846</v>
      </c>
      <c r="J7" s="35" t="n">
        <f aca="false">I12</f>
        <v>1390.28801421873</v>
      </c>
      <c r="K7" s="35" t="n">
        <f aca="false">J12</f>
        <v>1694.87750441739</v>
      </c>
      <c r="L7" s="35" t="n">
        <f aca="false">K12</f>
        <v>2036.33675392061</v>
      </c>
      <c r="M7" s="35" t="n">
        <f aca="false">L12</f>
        <v>2418.09907250256</v>
      </c>
      <c r="N7" s="35" t="n">
        <f aca="false">M12</f>
        <v>2843.85770157313</v>
      </c>
      <c r="O7" s="35" t="n">
        <f aca="false">N12</f>
        <v>3317.58177765279</v>
      </c>
      <c r="P7" s="35" t="n">
        <f aca="false">O12</f>
        <v>3843.53308257375</v>
      </c>
      <c r="Q7" s="35" t="n">
        <f aca="false">P12</f>
        <v>4426.28361576352</v>
      </c>
      <c r="R7" s="35" t="n">
        <f aca="false">Q12</f>
        <v>5070.73402652764</v>
      </c>
      <c r="S7" s="35" t="n">
        <f aca="false">R12</f>
        <v>5782.1329471117</v>
      </c>
      <c r="T7" s="35" t="n">
        <f aca="false">S12</f>
        <v>6566.09727051805</v>
      </c>
      <c r="U7" s="35" t="n">
        <f aca="false">T12</f>
        <v>7428.63342061242</v>
      </c>
      <c r="V7" s="35" t="n">
        <f aca="false">U12</f>
        <v>8376.1596660132</v>
      </c>
      <c r="W7" s="35" t="n">
        <f aca="false">V12</f>
        <v>9415.52953364743</v>
      </c>
      <c r="X7" s="35" t="n">
        <f aca="false">W12</f>
        <v>10554.0563827209</v>
      </c>
      <c r="Y7" s="35" t="n">
        <f aca="false">X12</f>
        <v>11799.5392052236</v>
      </c>
      <c r="Z7" s="35" t="n">
        <f aca="false">Y12</f>
        <v>13160.2897250209</v>
      </c>
      <c r="AA7" s="35" t="n">
        <f aca="false">Z12</f>
        <v>14645.1608741047</v>
      </c>
      <c r="AB7" s="35" t="n">
        <f aca="false">AA12</f>
        <v>16263.5767317523</v>
      </c>
      <c r="AC7" s="35" t="n">
        <f aca="false">AB12</f>
        <v>18025.5640202</v>
      </c>
      <c r="AD7" s="35" t="n">
        <f aca="false">AC12</f>
        <v>19941.7852590495</v>
      </c>
      <c r="AE7" s="35" t="n">
        <f aca="false">AD12</f>
        <v>22023.5736900298</v>
      </c>
      <c r="AF7" s="35" t="n">
        <f aca="false">AE12</f>
        <v>24282.9700939996</v>
      </c>
    </row>
    <row r="8" customFormat="false" ht="15" hidden="false" customHeight="false" outlineLevel="0" collapsed="false">
      <c r="A8" s="6"/>
      <c r="B8" s="10" t="s">
        <v>124</v>
      </c>
      <c r="C8" s="35" t="n">
        <f aca="false">IF(0&gt;=Projection_Years,0,Net_New_Flows*(1+Flow_Growth)^0*C22)</f>
        <v>120</v>
      </c>
      <c r="D8" s="35" t="n">
        <f aca="false">IF(1&gt;=Projection_Years,0,Net_New_Flows*(1+Flow_Growth)^1*D22)</f>
        <v>129.6</v>
      </c>
      <c r="E8" s="35" t="n">
        <f aca="false">IF(2&gt;=Projection_Years,0,Net_New_Flows*(1+Flow_Growth)^2*E22)</f>
        <v>139.968</v>
      </c>
      <c r="F8" s="35" t="n">
        <f aca="false">IF(3&gt;=Projection_Years,0,Net_New_Flows*(1+Flow_Growth)^3*F22)</f>
        <v>151.16544</v>
      </c>
      <c r="G8" s="35" t="n">
        <f aca="false">IF(4&gt;=Projection_Years,0,Net_New_Flows*(1+Flow_Growth)^4*G22)</f>
        <v>163.2586752</v>
      </c>
      <c r="H8" s="35" t="n">
        <f aca="false">IF(5&gt;=Projection_Years,0,Net_New_Flows*(1+Flow_Growth)^5*H22)</f>
        <v>176.319369216</v>
      </c>
      <c r="I8" s="35" t="n">
        <f aca="false">IF(6&gt;=Projection_Years,0,Net_New_Flows*(1+Flow_Growth)^6*I22)</f>
        <v>190.42491875328</v>
      </c>
      <c r="J8" s="35" t="n">
        <f aca="false">IF(7&gt;=Projection_Years,0,Net_New_Flows*(1+Flow_Growth)^7*J22)</f>
        <v>205.658912253543</v>
      </c>
      <c r="K8" s="35" t="n">
        <f aca="false">IF(8&gt;=Projection_Years,0,Net_New_Flows*(1+Flow_Growth)^8*K22)</f>
        <v>222.111625233826</v>
      </c>
      <c r="L8" s="35" t="n">
        <f aca="false">IF(9&gt;=Projection_Years,0,Net_New_Flows*(1+Flow_Growth)^9*L22)</f>
        <v>239.880555252532</v>
      </c>
      <c r="M8" s="35" t="n">
        <f aca="false">IF(10&gt;=Projection_Years,0,Net_New_Flows*(1+Flow_Growth)^10*M22)</f>
        <v>259.070999672735</v>
      </c>
      <c r="N8" s="35" t="n">
        <f aca="false">IF(11&gt;=Projection_Years,0,Net_New_Flows*(1+Flow_Growth)^11*N22)</f>
        <v>279.796679646553</v>
      </c>
      <c r="O8" s="35" t="n">
        <f aca="false">IF(12&gt;=Projection_Years,0,Net_New_Flows*(1+Flow_Growth)^12*O22)</f>
        <v>302.180414018278</v>
      </c>
      <c r="P8" s="35" t="n">
        <f aca="false">IF(13&gt;=Projection_Years,0,Net_New_Flows*(1+Flow_Growth)^13*P22)</f>
        <v>326.35484713974</v>
      </c>
      <c r="Q8" s="35" t="n">
        <f aca="false">IF(14&gt;=Projection_Years,0,Net_New_Flows*(1+Flow_Growth)^14*Q22)</f>
        <v>352.463234910919</v>
      </c>
      <c r="R8" s="35" t="n">
        <f aca="false">IF(15&gt;=Projection_Years,0,Net_New_Flows*(1+Flow_Growth)^15*R22)</f>
        <v>380.660293703793</v>
      </c>
      <c r="S8" s="35" t="n">
        <f aca="false">IF(16&gt;=Projection_Years,0,Net_New_Flows*(1+Flow_Growth)^16*S22)</f>
        <v>411.113117200096</v>
      </c>
      <c r="T8" s="35" t="n">
        <f aca="false">IF(17&gt;=Projection_Years,0,Net_New_Flows*(1+Flow_Growth)^17*T22)</f>
        <v>444.002166576104</v>
      </c>
      <c r="U8" s="35" t="n">
        <f aca="false">IF(18&gt;=Projection_Years,0,Net_New_Flows*(1+Flow_Growth)^18*U22)</f>
        <v>479.522339902192</v>
      </c>
      <c r="V8" s="35" t="n">
        <f aca="false">IF(19&gt;=Projection_Years,0,Net_New_Flows*(1+Flow_Growth)^19*V22)</f>
        <v>517.884127094368</v>
      </c>
      <c r="W8" s="35" t="n">
        <f aca="false">IF(20&gt;=Projection_Years,0,Net_New_Flows*(1+Flow_Growth)^20*W22)</f>
        <v>559.314857261917</v>
      </c>
      <c r="X8" s="35" t="n">
        <f aca="false">IF(21&gt;=Projection_Years,0,Net_New_Flows*(1+Flow_Growth)^21*X22)</f>
        <v>604.06004584287</v>
      </c>
      <c r="Y8" s="35" t="n">
        <f aca="false">IF(22&gt;=Projection_Years,0,Net_New_Flows*(1+Flow_Growth)^22*Y22)</f>
        <v>652.3848495103</v>
      </c>
      <c r="Z8" s="35" t="n">
        <f aca="false">IF(23&gt;=Projection_Years,0,Net_New_Flows*(1+Flow_Growth)^23*Z22)</f>
        <v>704.575637471124</v>
      </c>
      <c r="AA8" s="35" t="n">
        <f aca="false">IF(24&gt;=Projection_Years,0,Net_New_Flows*(1+Flow_Growth)^24*AA22)</f>
        <v>760.941688468814</v>
      </c>
      <c r="AB8" s="35" t="n">
        <f aca="false">IF(25&gt;=Projection_Years,0,Net_New_Flows*(1+Flow_Growth)^25*AB22)</f>
        <v>821.817023546319</v>
      </c>
      <c r="AC8" s="35" t="n">
        <f aca="false">IF(26&gt;=Projection_Years,0,Net_New_Flows*(1+Flow_Growth)^26*AC22)</f>
        <v>887.562385430025</v>
      </c>
      <c r="AD8" s="35" t="n">
        <f aca="false">IF(27&gt;=Projection_Years,0,Net_New_Flows*(1+Flow_Growth)^27*AD22)</f>
        <v>958.567376264427</v>
      </c>
      <c r="AE8" s="35" t="n">
        <f aca="false">IF(28&gt;=Projection_Years,0,Net_New_Flows*(1+Flow_Growth)^28*AE22)</f>
        <v>1035.25276636558</v>
      </c>
      <c r="AF8" s="35" t="n">
        <f aca="false">IF(29&gt;=Projection_Years,0,Net_New_Flows*(1+Flow_Growth)^29*AF22)</f>
        <v>1118.07298767483</v>
      </c>
    </row>
    <row r="9" customFormat="false" ht="15" hidden="false" customHeight="false" outlineLevel="0" collapsed="false">
      <c r="A9" s="6"/>
      <c r="B9" s="10" t="s">
        <v>125</v>
      </c>
      <c r="C9" s="35" t="n">
        <f aca="false">C7*(GP_Dom_Eq*Ret_Dom_Eq+GP_Intl_Eq*Ret_Intl_Eq+GP_Fixed_Inc*Ret_Fixed_Inc+GP_TIPS*Ret_TIPS+GP_Cash*Ret_Cash)</f>
        <v>3.8275</v>
      </c>
      <c r="D9" s="35" t="n">
        <f aca="false">D7*(GP_Dom_Eq*Ret_Dom_Eq+GP_Intl_Eq*Ret_Intl_Eq+GP_Fixed_Inc*Ret_Fixed_Inc+GP_TIPS*Ret_TIPS+GP_Cash*Ret_Cash)</f>
        <v>13.1768149791667</v>
      </c>
      <c r="E9" s="35" t="n">
        <f aca="false">E7*(GP_Dom_Eq*Ret_Dom_Eq+GP_Intl_Eq*Ret_Intl_Eq+GP_Fixed_Inc*Ret_Fixed_Inc+GP_TIPS*Ret_TIPS+GP_Cash*Ret_Cash)</f>
        <v>23.7630703310361</v>
      </c>
      <c r="F9" s="35" t="n">
        <f aca="false">F7*(GP_Dom_Eq*Ret_Dom_Eq+GP_Intl_Eq*Ret_Intl_Eq+GP_Fixed_Inc*Ret_Fixed_Inc+GP_TIPS*Ret_TIPS+GP_Cash*Ret_Cash)</f>
        <v>35.6928948083106</v>
      </c>
      <c r="G9" s="35" t="n">
        <f aca="false">G7*(GP_Dom_Eq*Ret_Dom_Eq+GP_Intl_Eq*Ret_Intl_Eq+GP_Fixed_Inc*Ret_Fixed_Inc+GP_TIPS*Ret_TIPS+GP_Cash*Ret_Cash)</f>
        <v>49.0793180112023</v>
      </c>
      <c r="H9" s="35" t="n">
        <f aca="false">H7*(GP_Dom_Eq*Ret_Dom_Eq+GP_Intl_Eq*Ret_Intl_Eq+GP_Fixed_Inc*Ret_Fixed_Inc+GP_TIPS*Ret_TIPS+GP_Cash*Ret_Cash)</f>
        <v>64.0419704537757</v>
      </c>
      <c r="I9" s="35" t="n">
        <f aca="false">I7*(GP_Dom_Eq*Ret_Dom_Eq+GP_Intl_Eq*Ret_Intl_Eq+GP_Fixed_Inc*Ret_Fixed_Inc+GP_TIPS*Ret_TIPS+GP_Cash*Ret_Cash)</f>
        <v>80.7072760360659</v>
      </c>
      <c r="J9" s="35" t="n">
        <f aca="false">J7*(GP_Dom_Eq*Ret_Dom_Eq+GP_Intl_Eq*Ret_Intl_Eq+GP_Fixed_Inc*Ret_Fixed_Inc+GP_TIPS*Ret_TIPS+GP_Cash*Ret_Cash)</f>
        <v>99.2086355479583</v>
      </c>
      <c r="K9" s="35" t="n">
        <f aca="false">K7*(GP_Dom_Eq*Ret_Dom_Eq+GP_Intl_Eq*Ret_Intl_Eq+GP_Fixed_Inc*Ret_Fixed_Inc+GP_TIPS*Ret_TIPS+GP_Cash*Ret_Cash)</f>
        <v>119.686599770275</v>
      </c>
      <c r="L9" s="35" t="n">
        <f aca="false">L7*(GP_Dom_Eq*Ret_Dom_Eq+GP_Intl_Eq*Ret_Intl_Eq+GP_Fixed_Inc*Ret_Fixed_Inc+GP_TIPS*Ret_TIPS+GP_Cash*Ret_Cash)</f>
        <v>142.289030680202</v>
      </c>
      <c r="M9" s="35" t="n">
        <f aca="false">M7*(GP_Dom_Eq*Ret_Dom_Eq+GP_Intl_Eq*Ret_Intl_Eq+GP_Fixed_Inc*Ret_Fixed_Inc+GP_TIPS*Ret_TIPS+GP_Cash*Ret_Cash)</f>
        <v>167.171249212343</v>
      </c>
      <c r="N9" s="35" t="n">
        <f aca="false">N7*(GP_Dom_Eq*Ret_Dom_Eq+GP_Intl_Eq*Ret_Intl_Eq+GP_Fixed_Inc*Ret_Fixed_Inc+GP_TIPS*Ret_TIPS+GP_Cash*Ret_Cash)</f>
        <v>194.496167973423</v>
      </c>
      <c r="O9" s="35" t="n">
        <f aca="false">O7*(GP_Dom_Eq*Ret_Dom_Eq+GP_Intl_Eq*Ret_Intl_Eq+GP_Fixed_Inc*Ret_Fixed_Inc+GP_TIPS*Ret_TIPS+GP_Cash*Ret_Cash)</f>
        <v>224.434407258212</v>
      </c>
      <c r="P9" s="35" t="n">
        <f aca="false">P7*(GP_Dom_Eq*Ret_Dom_Eq+GP_Intl_Eq*Ret_Intl_Eq+GP_Fixed_Inc*Ret_Fixed_Inc+GP_TIPS*Ret_TIPS+GP_Cash*Ret_Cash)</f>
        <v>257.164392666539</v>
      </c>
      <c r="Q9" s="35" t="n">
        <f aca="false">Q7*(GP_Dom_Eq*Ret_Dom_Eq+GP_Intl_Eq*Ret_Intl_Eq+GP_Fixed_Inc*Ret_Fixed_Inc+GP_TIPS*Ret_TIPS+GP_Cash*Ret_Cash)</f>
        <v>292.872432576353</v>
      </c>
      <c r="R9" s="35" t="n">
        <f aca="false">R7*(GP_Dom_Eq*Ret_Dom_Eq+GP_Intl_Eq*Ret_Intl_Eq+GP_Fixed_Inc*Ret_Fixed_Inc+GP_TIPS*Ret_TIPS+GP_Cash*Ret_Cash)</f>
        <v>331.752773685571</v>
      </c>
      <c r="S9" s="35" t="n">
        <f aca="false">S7*(GP_Dom_Eq*Ret_Dom_Eq+GP_Intl_Eq*Ret_Intl_Eq+GP_Fixed_Inc*Ret_Fixed_Inc+GP_TIPS*Ret_TIPS+GP_Cash*Ret_Cash)</f>
        <v>374.007632795675</v>
      </c>
      <c r="T9" s="35" t="n">
        <f aca="false">T7*(GP_Dom_Eq*Ret_Dom_Eq+GP_Intl_Eq*Ret_Intl_Eq+GP_Fixed_Inc*Ret_Fixed_Inc+GP_TIPS*Ret_TIPS+GP_Cash*Ret_Cash)</f>
        <v>419.847202972375</v>
      </c>
      <c r="U9" s="35" t="n">
        <f aca="false">U7*(GP_Dom_Eq*Ret_Dom_Eq+GP_Intl_Eq*Ret_Intl_Eq+GP_Fixed_Inc*Ret_Fixed_Inc+GP_TIPS*Ret_TIPS+GP_Cash*Ret_Cash)</f>
        <v>469.489632182705</v>
      </c>
      <c r="V9" s="35" t="n">
        <f aca="false">V7*(GP_Dom_Eq*Ret_Dom_Eq+GP_Intl_Eq*Ret_Intl_Eq+GP_Fixed_Inc*Ret_Fixed_Inc+GP_TIPS*Ret_TIPS+GP_Cash*Ret_Cash)</f>
        <v>523.160972473074</v>
      </c>
      <c r="W9" s="35" t="n">
        <f aca="false">W7*(GP_Dom_Eq*Ret_Dom_Eq+GP_Intl_Eq*Ret_Intl_Eq+GP_Fixed_Inc*Ret_Fixed_Inc+GP_TIPS*Ret_TIPS+GP_Cash*Ret_Cash)</f>
        <v>581.095097718274</v>
      </c>
      <c r="X9" s="35" t="n">
        <f aca="false">X7*(GP_Dom_Eq*Ret_Dom_Eq+GP_Intl_Eq*Ret_Intl_Eq+GP_Fixed_Inc*Ret_Fixed_Inc+GP_TIPS*Ret_TIPS+GP_Cash*Ret_Cash)</f>
        <v>643.533587936407</v>
      </c>
      <c r="Y9" s="35" t="n">
        <f aca="false">Y7*(GP_Dom_Eq*Ret_Dom_Eq+GP_Intl_Eq*Ret_Intl_Eq+GP_Fixed_Inc*Ret_Fixed_Inc+GP_TIPS*Ret_TIPS+GP_Cash*Ret_Cash)</f>
        <v>710.72557812797</v>
      </c>
      <c r="Z9" s="35" t="n">
        <f aca="false">Z7*(GP_Dom_Eq*Ret_Dom_Eq+GP_Intl_Eq*Ret_Intl_Eq+GP_Fixed_Inc*Ret_Fixed_Inc+GP_TIPS*Ret_TIPS+GP_Cash*Ret_Cash)</f>
        <v>782.927569557699</v>
      </c>
      <c r="AA9" s="35" t="n">
        <f aca="false">AA7*(GP_Dom_Eq*Ret_Dom_Eq+GP_Intl_Eq*Ret_Intl_Eq+GP_Fixed_Inc*Ret_Fixed_Inc+GP_TIPS*Ret_TIPS+GP_Cash*Ret_Cash)</f>
        <v>860.403201353649</v>
      </c>
      <c r="AB9" s="35" t="n">
        <f aca="false">AB7*(GP_Dom_Eq*Ret_Dom_Eq+GP_Intl_Eq*Ret_Intl_Eq+GP_Fixed_Inc*Ret_Fixed_Inc+GP_TIPS*Ret_TIPS+GP_Cash*Ret_Cash)</f>
        <v>943.422980247732</v>
      </c>
      <c r="AC9" s="35" t="n">
        <f aca="false">AC7*(GP_Dom_Eq*Ret_Dom_Eq+GP_Intl_Eq*Ret_Intl_Eq+GP_Fixed_Inc*Ret_Fixed_Inc+GP_TIPS*Ret_TIPS+GP_Cash*Ret_Cash)</f>
        <v>1032.26396622345</v>
      </c>
      <c r="AD9" s="35" t="n">
        <f aca="false">AD7*(GP_Dom_Eq*Ret_Dom_Eq+GP_Intl_Eq*Ret_Intl_Eq+GP_Fixed_Inc*Ret_Fixed_Inc+GP_TIPS*Ret_TIPS+GP_Cash*Ret_Cash)</f>
        <v>1127.20941176777</v>
      </c>
      <c r="AE9" s="35" t="n">
        <f aca="false">AE7*(GP_Dom_Eq*Ret_Dom_Eq+GP_Intl_Eq*Ret_Intl_Eq+GP_Fixed_Inc*Ret_Fixed_Inc+GP_TIPS*Ret_TIPS+GP_Cash*Ret_Cash)</f>
        <v>1228.54835234216</v>
      </c>
      <c r="AF9" s="35" t="n">
        <f aca="false">AF7*(GP_Dom_Eq*Ret_Dom_Eq+GP_Intl_Eq*Ret_Intl_Eq+GP_Fixed_Inc*Ret_Fixed_Inc+GP_TIPS*Ret_TIPS+GP_Cash*Ret_Cash)</f>
        <v>1336.57514559056</v>
      </c>
    </row>
    <row r="10" customFormat="false" ht="15" hidden="false" customHeight="false" outlineLevel="0" collapsed="false">
      <c r="A10" s="6"/>
      <c r="B10" s="10" t="s">
        <v>126</v>
      </c>
      <c r="C10" s="35" t="n">
        <f aca="false">-C7*Rebal_Cost_Bps/10000</f>
        <v>-0.01</v>
      </c>
      <c r="D10" s="35" t="n">
        <f aca="false">-D7*Rebal_Cost_Bps/10000</f>
        <v>-0.0347635</v>
      </c>
      <c r="E10" s="35" t="n">
        <f aca="false">-E7*Rebal_Cost_Bps/10000</f>
        <v>-0.0633119102958333</v>
      </c>
      <c r="F10" s="35" t="n">
        <f aca="false">-F7*Rebal_Cost_Bps/10000</f>
        <v>-0.0960454619799814</v>
      </c>
      <c r="G10" s="35" t="n">
        <f aca="false">-G7*Rebal_Cost_Bps/10000</f>
        <v>-0.133397919849248</v>
      </c>
      <c r="H10" s="35" t="n">
        <f aca="false">-H7*Rebal_Cost_Bps/10000</f>
        <v>-0.175838838907518</v>
      </c>
      <c r="I10" s="35" t="n">
        <f aca="false">-I7*Rebal_Cost_Bps/10000</f>
        <v>-0.223875939073692</v>
      </c>
      <c r="J10" s="35" t="n">
        <f aca="false">-J7*Rebal_Cost_Bps/10000</f>
        <v>-0.278057602843746</v>
      </c>
      <c r="K10" s="35" t="n">
        <f aca="false">-K7*Rebal_Cost_Bps/10000</f>
        <v>-0.338975500883478</v>
      </c>
      <c r="L10" s="35" t="n">
        <f aca="false">-L7*Rebal_Cost_Bps/10000</f>
        <v>-0.407267350784121</v>
      </c>
      <c r="M10" s="35" t="n">
        <f aca="false">-M7*Rebal_Cost_Bps/10000</f>
        <v>-0.483619814500511</v>
      </c>
      <c r="N10" s="35" t="n">
        <f aca="false">-N7*Rebal_Cost_Bps/10000</f>
        <v>-0.568771540314627</v>
      </c>
      <c r="O10" s="35" t="n">
        <f aca="false">-O7*Rebal_Cost_Bps/10000</f>
        <v>-0.663516355530559</v>
      </c>
      <c r="P10" s="35" t="n">
        <f aca="false">-P7*Rebal_Cost_Bps/10000</f>
        <v>-0.768706616514751</v>
      </c>
      <c r="Q10" s="35" t="n">
        <f aca="false">-Q7*Rebal_Cost_Bps/10000</f>
        <v>-0.885256723152704</v>
      </c>
      <c r="R10" s="35" t="n">
        <f aca="false">-R7*Rebal_Cost_Bps/10000</f>
        <v>-1.01414680530553</v>
      </c>
      <c r="S10" s="35" t="n">
        <f aca="false">-S7*Rebal_Cost_Bps/10000</f>
        <v>-1.15642658942234</v>
      </c>
      <c r="T10" s="35" t="n">
        <f aca="false">-T7*Rebal_Cost_Bps/10000</f>
        <v>-1.31321945410361</v>
      </c>
      <c r="U10" s="35" t="n">
        <f aca="false">-U7*Rebal_Cost_Bps/10000</f>
        <v>-1.48572668412248</v>
      </c>
      <c r="V10" s="35" t="n">
        <f aca="false">-V7*Rebal_Cost_Bps/10000</f>
        <v>-1.67523193320264</v>
      </c>
      <c r="W10" s="35" t="n">
        <f aca="false">-W7*Rebal_Cost_Bps/10000</f>
        <v>-1.88310590672949</v>
      </c>
      <c r="X10" s="35" t="n">
        <f aca="false">-X7*Rebal_Cost_Bps/10000</f>
        <v>-2.11081127654418</v>
      </c>
      <c r="Y10" s="35" t="n">
        <f aca="false">-Y7*Rebal_Cost_Bps/10000</f>
        <v>-2.35990784104473</v>
      </c>
      <c r="Z10" s="35" t="n">
        <f aca="false">-Z7*Rebal_Cost_Bps/10000</f>
        <v>-2.63205794500417</v>
      </c>
      <c r="AA10" s="35" t="n">
        <f aca="false">-AA7*Rebal_Cost_Bps/10000</f>
        <v>-2.92903217482093</v>
      </c>
      <c r="AB10" s="35" t="n">
        <f aca="false">-AB7*Rebal_Cost_Bps/10000</f>
        <v>-3.25271534635046</v>
      </c>
      <c r="AC10" s="35" t="n">
        <f aca="false">-AC7*Rebal_Cost_Bps/10000</f>
        <v>-3.60511280404</v>
      </c>
      <c r="AD10" s="35" t="n">
        <f aca="false">-AD7*Rebal_Cost_Bps/10000</f>
        <v>-3.98835705180989</v>
      </c>
      <c r="AE10" s="35" t="n">
        <f aca="false">-AE7*Rebal_Cost_Bps/10000</f>
        <v>-4.40471473800597</v>
      </c>
      <c r="AF10" s="35" t="n">
        <f aca="false">-AF7*Rebal_Cost_Bps/10000</f>
        <v>-4.85659401879992</v>
      </c>
    </row>
    <row r="11" customFormat="false" ht="15" hidden="false" customHeight="false" outlineLevel="0" collapsed="false">
      <c r="A11" s="6"/>
      <c r="B11" s="23"/>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row>
    <row r="12" customFormat="false" ht="15" hidden="false" customHeight="false" outlineLevel="0" collapsed="false">
      <c r="A12" s="6"/>
      <c r="B12" s="36" t="s">
        <v>127</v>
      </c>
      <c r="C12" s="37" t="n">
        <f aca="false">C7+C8+C9+C10</f>
        <v>173.8175</v>
      </c>
      <c r="D12" s="37" t="n">
        <f aca="false">D7+D8+D9+D10</f>
        <v>316.559551479167</v>
      </c>
      <c r="E12" s="37" t="n">
        <f aca="false">E7+E8+E9+E10</f>
        <v>480.227309899907</v>
      </c>
      <c r="F12" s="37" t="n">
        <f aca="false">F7+F8+F9+F10</f>
        <v>666.989599246238</v>
      </c>
      <c r="G12" s="37" t="n">
        <f aca="false">G7+G8+G9+G10</f>
        <v>879.194194537591</v>
      </c>
      <c r="H12" s="37" t="n">
        <f aca="false">H7+H8+H9+H10</f>
        <v>1119.37969536846</v>
      </c>
      <c r="I12" s="37" t="n">
        <f aca="false">I7+I8+I9+I10</f>
        <v>1390.28801421873</v>
      </c>
      <c r="J12" s="37" t="n">
        <f aca="false">J7+J8+J9+J10</f>
        <v>1694.87750441739</v>
      </c>
      <c r="K12" s="37" t="n">
        <f aca="false">K7+K8+K9+K10</f>
        <v>2036.33675392061</v>
      </c>
      <c r="L12" s="37" t="n">
        <f aca="false">L7+L8+L9+L10</f>
        <v>2418.09907250256</v>
      </c>
      <c r="M12" s="37" t="n">
        <f aca="false">M7+M8+M9+M10</f>
        <v>2843.85770157313</v>
      </c>
      <c r="N12" s="37" t="n">
        <f aca="false">N7+N8+N9+N10</f>
        <v>3317.58177765279</v>
      </c>
      <c r="O12" s="37" t="n">
        <f aca="false">O7+O8+O9+O10</f>
        <v>3843.53308257375</v>
      </c>
      <c r="P12" s="37" t="n">
        <f aca="false">P7+P8+P9+P10</f>
        <v>4426.28361576352</v>
      </c>
      <c r="Q12" s="37" t="n">
        <f aca="false">Q7+Q8+Q9+Q10</f>
        <v>5070.73402652764</v>
      </c>
      <c r="R12" s="37" t="n">
        <f aca="false">R7+R8+R9+R10</f>
        <v>5782.1329471117</v>
      </c>
      <c r="S12" s="37" t="n">
        <f aca="false">S7+S8+S9+S10</f>
        <v>6566.09727051805</v>
      </c>
      <c r="T12" s="37" t="n">
        <f aca="false">T7+T8+T9+T10</f>
        <v>7428.63342061242</v>
      </c>
      <c r="U12" s="37" t="n">
        <f aca="false">U7+U8+U9+U10</f>
        <v>8376.1596660132</v>
      </c>
      <c r="V12" s="37" t="n">
        <f aca="false">V7+V8+V9+V10</f>
        <v>9415.52953364743</v>
      </c>
      <c r="W12" s="37" t="n">
        <f aca="false">W7+W8+W9+W10</f>
        <v>10554.0563827209</v>
      </c>
      <c r="X12" s="37" t="n">
        <f aca="false">X7+X8+X9+X10</f>
        <v>11799.5392052236</v>
      </c>
      <c r="Y12" s="37" t="n">
        <f aca="false">Y7+Y8+Y9+Y10</f>
        <v>13160.2897250209</v>
      </c>
      <c r="Z12" s="37" t="n">
        <f aca="false">Z7+Z8+Z9+Z10</f>
        <v>14645.1608741047</v>
      </c>
      <c r="AA12" s="37" t="n">
        <f aca="false">AA7+AA8+AA9+AA10</f>
        <v>16263.5767317523</v>
      </c>
      <c r="AB12" s="37" t="n">
        <f aca="false">AB7+AB8+AB9+AB10</f>
        <v>18025.5640202</v>
      </c>
      <c r="AC12" s="37" t="n">
        <f aca="false">AC7+AC8+AC9+AC10</f>
        <v>19941.7852590495</v>
      </c>
      <c r="AD12" s="37" t="n">
        <f aca="false">AD7+AD8+AD9+AD10</f>
        <v>22023.5736900298</v>
      </c>
      <c r="AE12" s="37" t="n">
        <f aca="false">AE7+AE8+AE9+AE10</f>
        <v>24282.9700939996</v>
      </c>
      <c r="AF12" s="37" t="n">
        <f aca="false">AF7+AF8+AF9+AF10</f>
        <v>26732.7616332462</v>
      </c>
    </row>
    <row r="13" customFormat="false" ht="15" hidden="false" customHeight="false" outlineLevel="0" collapsed="false">
      <c r="A13" s="6"/>
      <c r="B13" s="10" t="s">
        <v>128</v>
      </c>
      <c r="C13" s="35" t="n">
        <f aca="false">(C7+C12)/2</f>
        <v>111.90875</v>
      </c>
      <c r="D13" s="35" t="n">
        <f aca="false">(D7+D12)/2</f>
        <v>245.188525739583</v>
      </c>
      <c r="E13" s="35" t="n">
        <f aca="false">(E7+E12)/2</f>
        <v>398.393430689537</v>
      </c>
      <c r="F13" s="35" t="n">
        <f aca="false">(F7+F12)/2</f>
        <v>573.608454573072</v>
      </c>
      <c r="G13" s="35" t="n">
        <f aca="false">(G7+G12)/2</f>
        <v>773.091896891914</v>
      </c>
      <c r="H13" s="35" t="n">
        <f aca="false">(H7+H12)/2</f>
        <v>999.286944953025</v>
      </c>
      <c r="I13" s="35" t="n">
        <f aca="false">(I7+I12)/2</f>
        <v>1254.8338547936</v>
      </c>
      <c r="J13" s="35" t="n">
        <f aca="false">(J7+J12)/2</f>
        <v>1542.58275931806</v>
      </c>
      <c r="K13" s="35" t="n">
        <f aca="false">(K7+K12)/2</f>
        <v>1865.607129169</v>
      </c>
      <c r="L13" s="35" t="n">
        <f aca="false">(L7+L12)/2</f>
        <v>2227.21791321158</v>
      </c>
      <c r="M13" s="35" t="n">
        <f aca="false">(M7+M12)/2</f>
        <v>2630.97838703784</v>
      </c>
      <c r="N13" s="35" t="n">
        <f aca="false">(N7+N12)/2</f>
        <v>3080.71973961296</v>
      </c>
      <c r="O13" s="35" t="n">
        <f aca="false">(O7+O12)/2</f>
        <v>3580.55743011327</v>
      </c>
      <c r="P13" s="35" t="n">
        <f aca="false">(P7+P12)/2</f>
        <v>4134.90834916864</v>
      </c>
      <c r="Q13" s="35" t="n">
        <f aca="false">(Q7+Q12)/2</f>
        <v>4748.50882114558</v>
      </c>
      <c r="R13" s="35" t="n">
        <f aca="false">(R7+R12)/2</f>
        <v>5426.43348681967</v>
      </c>
      <c r="S13" s="35" t="n">
        <f aca="false">(S7+S12)/2</f>
        <v>6174.11510881487</v>
      </c>
      <c r="T13" s="35" t="n">
        <f aca="false">(T7+T12)/2</f>
        <v>6997.36534556523</v>
      </c>
      <c r="U13" s="35" t="n">
        <f aca="false">(U7+U12)/2</f>
        <v>7902.39654331281</v>
      </c>
      <c r="V13" s="35" t="n">
        <f aca="false">(V7+V12)/2</f>
        <v>8895.84459983031</v>
      </c>
      <c r="W13" s="35" t="n">
        <f aca="false">(W7+W12)/2</f>
        <v>9984.79295818416</v>
      </c>
      <c r="X13" s="35" t="n">
        <f aca="false">(X7+X12)/2</f>
        <v>11176.7977939723</v>
      </c>
      <c r="Y13" s="35" t="n">
        <f aca="false">(Y7+Y12)/2</f>
        <v>12479.9144651222</v>
      </c>
      <c r="Z13" s="35" t="n">
        <f aca="false">(Z7+Z12)/2</f>
        <v>13902.7252995628</v>
      </c>
      <c r="AA13" s="35" t="n">
        <f aca="false">(AA7+AA12)/2</f>
        <v>15454.3688029285</v>
      </c>
      <c r="AB13" s="35" t="n">
        <f aca="false">(AB7+AB12)/2</f>
        <v>17144.5703759762</v>
      </c>
      <c r="AC13" s="35" t="n">
        <f aca="false">(AC7+AC12)/2</f>
        <v>18983.6746396247</v>
      </c>
      <c r="AD13" s="35" t="n">
        <f aca="false">(AD7+AD12)/2</f>
        <v>20982.6794745396</v>
      </c>
      <c r="AE13" s="35" t="n">
        <f aca="false">(AE7+AE12)/2</f>
        <v>23153.2718920147</v>
      </c>
      <c r="AF13" s="35" t="n">
        <f aca="false">(AF7+AF12)/2</f>
        <v>25507.8658636229</v>
      </c>
    </row>
    <row r="14" customFormat="false" ht="15" hidden="false" customHeight="false" outlineLevel="0" collapsed="false">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row>
    <row r="15" customFormat="false" ht="15" hidden="false" customHeight="false" outlineLevel="0" collapsed="false">
      <c r="A15" s="6"/>
      <c r="B15" s="23" t="s">
        <v>129</v>
      </c>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row>
    <row r="16" customFormat="false" ht="15" hidden="false" customHeight="false" outlineLevel="0" collapsed="false">
      <c r="A16" s="6"/>
      <c r="B16" s="38" t="s">
        <v>68</v>
      </c>
      <c r="C16" s="35" t="n">
        <f aca="false">C12*GP_Dom_Eq</f>
        <v>93.86145</v>
      </c>
      <c r="D16" s="35" t="n">
        <f aca="false">D12*GP_Dom_Eq</f>
        <v>167.776562283958</v>
      </c>
      <c r="E16" s="35" t="n">
        <f aca="false">E12*GP_Dom_Eq</f>
        <v>249.718201147952</v>
      </c>
      <c r="F16" s="35" t="n">
        <f aca="false">F12*GP_Dom_Eq</f>
        <v>340.164695615581</v>
      </c>
      <c r="G16" s="35" t="n">
        <f aca="false">G12*GP_Dom_Eq</f>
        <v>439.597097268795</v>
      </c>
      <c r="H16" s="35" t="n">
        <f aca="false">H12*GP_Dom_Eq</f>
        <v>548.496050730545</v>
      </c>
      <c r="I16" s="35" t="n">
        <f aca="false">I12*GP_Dom_Eq</f>
        <v>667.338246824991</v>
      </c>
      <c r="J16" s="35" t="n">
        <f aca="false">J12*GP_Dom_Eq</f>
        <v>796.592427076173</v>
      </c>
      <c r="K16" s="35" t="n">
        <f aca="false">K12*GP_Dom_Eq</f>
        <v>936.714906803479</v>
      </c>
      <c r="L16" s="35" t="n">
        <f aca="false">L12*GP_Dom_Eq</f>
        <v>1088.14458262615</v>
      </c>
      <c r="M16" s="35" t="n">
        <f aca="false">M12*GP_Dom_Eq</f>
        <v>1251.29738869218</v>
      </c>
      <c r="N16" s="35" t="n">
        <f aca="false">N12*GP_Dom_Eq</f>
        <v>1426.5601643907</v>
      </c>
      <c r="O16" s="35" t="n">
        <f aca="false">O12*GP_Dom_Eq</f>
        <v>1614.28389468098</v>
      </c>
      <c r="P16" s="35" t="n">
        <f aca="false">P12*GP_Dom_Eq</f>
        <v>1814.77628246304</v>
      </c>
      <c r="Q16" s="35" t="n">
        <f aca="false">Q12*GP_Dom_Eq</f>
        <v>2028.29361061106</v>
      </c>
      <c r="R16" s="35" t="n">
        <f aca="false">R12*GP_Dom_Eq</f>
        <v>2255.03184937356</v>
      </c>
      <c r="S16" s="35" t="n">
        <f aca="false">S12*GP_Dom_Eq</f>
        <v>2495.11696279686</v>
      </c>
      <c r="T16" s="35" t="n">
        <f aca="false">T12*GP_Dom_Eq</f>
        <v>2748.5943656266</v>
      </c>
      <c r="U16" s="35" t="n">
        <f aca="false">U12*GP_Dom_Eq</f>
        <v>3015.41747976475</v>
      </c>
      <c r="V16" s="35" t="n">
        <f aca="false">V12*GP_Dom_Eq</f>
        <v>3295.4353367766</v>
      </c>
      <c r="W16" s="35" t="n">
        <f aca="false">W12*GP_Dom_Eq</f>
        <v>3588.3791701251</v>
      </c>
      <c r="X16" s="35" t="n">
        <f aca="false">X12*GP_Dom_Eq</f>
        <v>3893.8479377238</v>
      </c>
      <c r="Y16" s="35" t="n">
        <f aca="false">Y12*GP_Dom_Eq</f>
        <v>4211.29271200667</v>
      </c>
      <c r="Z16" s="35" t="n">
        <f aca="false">Z12*GP_Dom_Eq</f>
        <v>4539.99987097245</v>
      </c>
      <c r="AA16" s="35" t="n">
        <f aca="false">AA12*GP_Dom_Eq</f>
        <v>4879.07301952569</v>
      </c>
      <c r="AB16" s="35" t="n">
        <f aca="false">AB12*GP_Dom_Eq</f>
        <v>5227.413565858</v>
      </c>
      <c r="AC16" s="35" t="n">
        <f aca="false">AC12*GP_Dom_Eq</f>
        <v>5583.69987253385</v>
      </c>
      <c r="AD16" s="35" t="n">
        <f aca="false">AD12*GP_Dom_Eq</f>
        <v>5946.36489630806</v>
      </c>
      <c r="AE16" s="35" t="n">
        <f aca="false">AE12*GP_Dom_Eq</f>
        <v>6313.57222443989</v>
      </c>
      <c r="AF16" s="35" t="n">
        <f aca="false">AF12*GP_Dom_Eq</f>
        <v>6683.19040831154</v>
      </c>
    </row>
    <row r="17" customFormat="false" ht="15" hidden="false" customHeight="false" outlineLevel="0" collapsed="false">
      <c r="A17" s="6"/>
      <c r="B17" s="38" t="s">
        <v>70</v>
      </c>
      <c r="C17" s="35" t="n">
        <f aca="false">C12*GP_Intl_Eq</f>
        <v>62.5743</v>
      </c>
      <c r="D17" s="35" t="n">
        <f aca="false">D12*GP_Intl_Eq</f>
        <v>111.851041522639</v>
      </c>
      <c r="E17" s="35" t="n">
        <f aca="false">E12*GP_Intl_Eq</f>
        <v>166.478800765301</v>
      </c>
      <c r="F17" s="35" t="n">
        <f aca="false">F12*GP_Intl_Eq</f>
        <v>226.776463743721</v>
      </c>
      <c r="G17" s="35" t="n">
        <f aca="false">G12*GP_Intl_Eq</f>
        <v>293.06473151253</v>
      </c>
      <c r="H17" s="35" t="n">
        <f aca="false">H12*GP_Intl_Eq</f>
        <v>365.664033820363</v>
      </c>
      <c r="I17" s="35" t="n">
        <f aca="false">I12*GP_Intl_Eq</f>
        <v>444.892164549994</v>
      </c>
      <c r="J17" s="35" t="n">
        <f aca="false">J12*GP_Intl_Eq</f>
        <v>531.061618050782</v>
      </c>
      <c r="K17" s="35" t="n">
        <f aca="false">K12*GP_Intl_Eq</f>
        <v>624.476604535652</v>
      </c>
      <c r="L17" s="35" t="n">
        <f aca="false">L12*GP_Intl_Eq</f>
        <v>725.429721750767</v>
      </c>
      <c r="M17" s="35" t="n">
        <f aca="false">M12*GP_Intl_Eq</f>
        <v>834.198259128119</v>
      </c>
      <c r="N17" s="35" t="n">
        <f aca="false">N12*GP_Intl_Eq</f>
        <v>951.040109593801</v>
      </c>
      <c r="O17" s="35" t="n">
        <f aca="false">O12*GP_Intl_Eq</f>
        <v>1076.18926312065</v>
      </c>
      <c r="P17" s="35" t="n">
        <f aca="false">P12*GP_Intl_Eq</f>
        <v>1209.85085497536</v>
      </c>
      <c r="Q17" s="35" t="n">
        <f aca="false">Q12*GP_Intl_Eq</f>
        <v>1352.19574040737</v>
      </c>
      <c r="R17" s="35" t="n">
        <f aca="false">R12*GP_Intl_Eq</f>
        <v>1503.35456624904</v>
      </c>
      <c r="S17" s="35" t="n">
        <f aca="false">S12*GP_Intl_Eq</f>
        <v>1663.41130853124</v>
      </c>
      <c r="T17" s="35" t="n">
        <f aca="false">T12*GP_Intl_Eq</f>
        <v>1832.39624375106</v>
      </c>
      <c r="U17" s="35" t="n">
        <f aca="false">U12*GP_Intl_Eq</f>
        <v>2010.27831984317</v>
      </c>
      <c r="V17" s="35" t="n">
        <f aca="false">V12*GP_Intl_Eq</f>
        <v>2196.9568911844</v>
      </c>
      <c r="W17" s="35" t="n">
        <f aca="false">W12*GP_Intl_Eq</f>
        <v>2392.2527800834</v>
      </c>
      <c r="X17" s="35" t="n">
        <f aca="false">X12*GP_Intl_Eq</f>
        <v>2595.8986251492</v>
      </c>
      <c r="Y17" s="35" t="n">
        <f aca="false">Y12*GP_Intl_Eq</f>
        <v>2807.52847467112</v>
      </c>
      <c r="Z17" s="35" t="n">
        <f aca="false">Z12*GP_Intl_Eq</f>
        <v>3026.6665806483</v>
      </c>
      <c r="AA17" s="35" t="n">
        <f aca="false">AA12*GP_Intl_Eq</f>
        <v>3252.71534635046</v>
      </c>
      <c r="AB17" s="35" t="n">
        <f aca="false">AB12*GP_Intl_Eq</f>
        <v>3484.94237723867</v>
      </c>
      <c r="AC17" s="35" t="n">
        <f aca="false">AC12*GP_Intl_Eq</f>
        <v>3722.46658168923</v>
      </c>
      <c r="AD17" s="35" t="n">
        <f aca="false">AD12*GP_Intl_Eq</f>
        <v>3964.24326420537</v>
      </c>
      <c r="AE17" s="35" t="n">
        <f aca="false">AE12*GP_Intl_Eq</f>
        <v>4209.04814962659</v>
      </c>
      <c r="AF17" s="35" t="n">
        <f aca="false">AF12*GP_Intl_Eq</f>
        <v>4455.4602722077</v>
      </c>
    </row>
    <row r="18" customFormat="false" ht="15" hidden="false" customHeight="false" outlineLevel="0" collapsed="false">
      <c r="A18" s="6"/>
      <c r="B18" s="38" t="s">
        <v>71</v>
      </c>
      <c r="C18" s="35" t="n">
        <f aca="false">C12*GP_Fixed_Inc</f>
        <v>12.167225</v>
      </c>
      <c r="D18" s="35" t="n">
        <f aca="false">D12*GP_Fixed_Inc</f>
        <v>25.8523633707986</v>
      </c>
      <c r="E18" s="35" t="n">
        <f aca="false">E12*GP_Fixed_Inc</f>
        <v>44.821215590658</v>
      </c>
      <c r="F18" s="35" t="n">
        <f aca="false">F12*GP_Fixed_Inc</f>
        <v>70.033907920855</v>
      </c>
      <c r="G18" s="35" t="n">
        <f aca="false">G12*GP_Fixed_Inc</f>
        <v>102.572656029386</v>
      </c>
      <c r="H18" s="35" t="n">
        <f aca="false">H12*GP_Fixed_Inc</f>
        <v>143.653727572286</v>
      </c>
      <c r="I18" s="35" t="n">
        <f aca="false">I12*GP_Fixed_Inc</f>
        <v>194.640321990622</v>
      </c>
      <c r="J18" s="35" t="n">
        <f aca="false">J12*GP_Fixed_Inc</f>
        <v>257.056421503304</v>
      </c>
      <c r="K18" s="35" t="n">
        <f aca="false">K12*GP_Fixed_Inc</f>
        <v>332.601669807032</v>
      </c>
      <c r="L18" s="35" t="n">
        <f aca="false">L12*GP_Fixed_Inc</f>
        <v>423.167337687947</v>
      </c>
      <c r="M18" s="35" t="n">
        <f aca="false">M12*GP_Fixed_Inc</f>
        <v>530.853437626985</v>
      </c>
      <c r="N18" s="35" t="n">
        <f aca="false">N12*GP_Fixed_Inc</f>
        <v>657.987052567804</v>
      </c>
      <c r="O18" s="35" t="n">
        <f aca="false">O12*GP_Fixed_Inc</f>
        <v>807.141947340488</v>
      </c>
      <c r="P18" s="35" t="n">
        <f aca="false">P12*GP_Fixed_Inc</f>
        <v>981.15953482758</v>
      </c>
      <c r="Q18" s="35" t="n">
        <f aca="false">Q12*GP_Fixed_Inc</f>
        <v>1183.17127285645</v>
      </c>
      <c r="R18" s="35" t="n">
        <f aca="false">R12*GP_Fixed_Inc</f>
        <v>1416.62257204237</v>
      </c>
      <c r="S18" s="35" t="n">
        <f aca="false">S12*GP_Fixed_Inc</f>
        <v>1685.29829943296</v>
      </c>
      <c r="T18" s="35" t="n">
        <f aca="false">T12*GP_Fixed_Inc</f>
        <v>1993.34996786433</v>
      </c>
      <c r="U18" s="35" t="n">
        <f aca="false">U12*GP_Fixed_Inc</f>
        <v>2345.32470648369</v>
      </c>
      <c r="V18" s="35" t="n">
        <f aca="false">V12*GP_Fixed_Inc</f>
        <v>2746.1961139805</v>
      </c>
      <c r="W18" s="35" t="n">
        <f aca="false">W12*GP_Fixed_Inc</f>
        <v>3201.39710275867</v>
      </c>
      <c r="X18" s="35" t="n">
        <f aca="false">X12*GP_Fixed_Inc</f>
        <v>3716.85484964544</v>
      </c>
      <c r="Y18" s="35" t="n">
        <f aca="false">Y12*GP_Fixed_Inc</f>
        <v>4299.02797684014</v>
      </c>
      <c r="Z18" s="35" t="n">
        <f aca="false">Z12*GP_Fixed_Inc</f>
        <v>4954.94609573875</v>
      </c>
      <c r="AA18" s="35" t="n">
        <f aca="false">AA12*GP_Fixed_Inc</f>
        <v>5692.25185611331</v>
      </c>
      <c r="AB18" s="35" t="n">
        <f aca="false">AB12*GP_Fixed_Inc</f>
        <v>6519.24565397234</v>
      </c>
      <c r="AC18" s="35" t="n">
        <f aca="false">AC12*GP_Fixed_Inc</f>
        <v>7444.93316337846</v>
      </c>
      <c r="AD18" s="35" t="n">
        <f aca="false">AD12*GP_Fixed_Inc</f>
        <v>8479.07587066149</v>
      </c>
      <c r="AE18" s="35" t="n">
        <f aca="false">AE12*GP_Fixed_Inc</f>
        <v>9632.24480395317</v>
      </c>
      <c r="AF18" s="35" t="n">
        <f aca="false">AF12*GP_Fixed_Inc</f>
        <v>10915.8776669089</v>
      </c>
    </row>
    <row r="19" customFormat="false" ht="15" hidden="false" customHeight="false" outlineLevel="0" collapsed="false">
      <c r="A19" s="6"/>
      <c r="B19" s="38" t="s">
        <v>116</v>
      </c>
      <c r="C19" s="35" t="n">
        <f aca="false">C12*GP_TIPS</f>
        <v>3.47635</v>
      </c>
      <c r="D19" s="35" t="n">
        <f aca="false">D12*GP_TIPS</f>
        <v>7.38638953451389</v>
      </c>
      <c r="E19" s="35" t="n">
        <f aca="false">E12*GP_TIPS</f>
        <v>12.8060615973309</v>
      </c>
      <c r="F19" s="35" t="n">
        <f aca="false">F12*GP_TIPS</f>
        <v>20.0096879773871</v>
      </c>
      <c r="G19" s="35" t="n">
        <f aca="false">G12*GP_TIPS</f>
        <v>29.306473151253</v>
      </c>
      <c r="H19" s="35" t="n">
        <f aca="false">H12*GP_TIPS</f>
        <v>41.0439221635102</v>
      </c>
      <c r="I19" s="35" t="n">
        <f aca="false">I12*GP_TIPS</f>
        <v>55.6115205687493</v>
      </c>
      <c r="J19" s="35" t="n">
        <f aca="false">J12*GP_TIPS</f>
        <v>73.4446918580868</v>
      </c>
      <c r="K19" s="35" t="n">
        <f aca="false">K12*GP_TIPS</f>
        <v>95.0290485162949</v>
      </c>
      <c r="L19" s="35" t="n">
        <f aca="false">L12*GP_TIPS</f>
        <v>120.904953625128</v>
      </c>
      <c r="M19" s="35" t="n">
        <f aca="false">M12*GP_TIPS</f>
        <v>151.672410750567</v>
      </c>
      <c r="N19" s="35" t="n">
        <f aca="false">N12*GP_TIPS</f>
        <v>187.996300733658</v>
      </c>
      <c r="O19" s="35" t="n">
        <f aca="false">O12*GP_TIPS</f>
        <v>230.611984954425</v>
      </c>
      <c r="P19" s="35" t="n">
        <f aca="false">P12*GP_TIPS</f>
        <v>280.331295665023</v>
      </c>
      <c r="Q19" s="35" t="n">
        <f aca="false">Q12*GP_TIPS</f>
        <v>338.048935101842</v>
      </c>
      <c r="R19" s="35" t="n">
        <f aca="false">R12*GP_TIPS</f>
        <v>404.749306297819</v>
      </c>
      <c r="S19" s="35" t="n">
        <f aca="false">S12*GP_TIPS</f>
        <v>481.51379983799</v>
      </c>
      <c r="T19" s="35" t="n">
        <f aca="false">T12*GP_TIPS</f>
        <v>569.528562246952</v>
      </c>
      <c r="U19" s="35" t="n">
        <f aca="false">U12*GP_TIPS</f>
        <v>670.092773281055</v>
      </c>
      <c r="V19" s="35" t="n">
        <f aca="false">V12*GP_TIPS</f>
        <v>784.627461137286</v>
      </c>
      <c r="W19" s="35" t="n">
        <f aca="false">W12*GP_TIPS</f>
        <v>914.684886502478</v>
      </c>
      <c r="X19" s="35" t="n">
        <f aca="false">X12*GP_TIPS</f>
        <v>1061.95852847013</v>
      </c>
      <c r="Y19" s="35" t="n">
        <f aca="false">Y12*GP_TIPS</f>
        <v>1228.29370766861</v>
      </c>
      <c r="Z19" s="35" t="n">
        <f aca="false">Z12*GP_TIPS</f>
        <v>1415.69888449678</v>
      </c>
      <c r="AA19" s="35" t="n">
        <f aca="false">AA12*GP_TIPS</f>
        <v>1626.35767317523</v>
      </c>
      <c r="AB19" s="35" t="n">
        <f aca="false">AB12*GP_TIPS</f>
        <v>1862.64161542067</v>
      </c>
      <c r="AC19" s="35" t="n">
        <f aca="false">AC12*GP_TIPS</f>
        <v>2127.12376096528</v>
      </c>
      <c r="AD19" s="35" t="n">
        <f aca="false">AD12*GP_TIPS</f>
        <v>2422.59310590328</v>
      </c>
      <c r="AE19" s="35" t="n">
        <f aca="false">AE12*GP_TIPS</f>
        <v>2752.06994398662</v>
      </c>
      <c r="AF19" s="35" t="n">
        <f aca="false">AF12*GP_TIPS</f>
        <v>3118.82219054539</v>
      </c>
    </row>
    <row r="20" customFormat="false" ht="15" hidden="false" customHeight="false" outlineLevel="0" collapsed="false">
      <c r="A20" s="6"/>
      <c r="B20" s="38" t="s">
        <v>117</v>
      </c>
      <c r="C20" s="35" t="n">
        <f aca="false">C12*GP_Cash</f>
        <v>1.73817499999999</v>
      </c>
      <c r="D20" s="35" t="n">
        <f aca="false">D12*GP_Cash</f>
        <v>3.69319476725697</v>
      </c>
      <c r="E20" s="35" t="n">
        <f aca="false">E12*GP_Cash</f>
        <v>6.40303079866543</v>
      </c>
      <c r="F20" s="35" t="n">
        <f aca="false">F12*GP_Cash</f>
        <v>10.0048439886935</v>
      </c>
      <c r="G20" s="35" t="n">
        <f aca="false">G12*GP_Cash</f>
        <v>14.6532365756265</v>
      </c>
      <c r="H20" s="35" t="n">
        <f aca="false">H12*GP_Cash</f>
        <v>20.5219610817551</v>
      </c>
      <c r="I20" s="35" t="n">
        <f aca="false">I12*GP_Cash</f>
        <v>27.8057602843746</v>
      </c>
      <c r="J20" s="35" t="n">
        <f aca="false">J12*GP_Cash</f>
        <v>36.7223459290434</v>
      </c>
      <c r="K20" s="35" t="n">
        <f aca="false">K12*GP_Cash</f>
        <v>47.5145242581476</v>
      </c>
      <c r="L20" s="35" t="n">
        <f aca="false">L12*GP_Cash</f>
        <v>60.4524768125639</v>
      </c>
      <c r="M20" s="35" t="n">
        <f aca="false">M12*GP_Cash</f>
        <v>75.8362053752837</v>
      </c>
      <c r="N20" s="35" t="n">
        <f aca="false">N12*GP_Cash</f>
        <v>93.9981503668294</v>
      </c>
      <c r="O20" s="35" t="n">
        <f aca="false">O12*GP_Cash</f>
        <v>115.305992477213</v>
      </c>
      <c r="P20" s="35" t="n">
        <f aca="false">P12*GP_Cash</f>
        <v>140.165647832512</v>
      </c>
      <c r="Q20" s="35" t="n">
        <f aca="false">Q12*GP_Cash</f>
        <v>169.024467550921</v>
      </c>
      <c r="R20" s="35" t="n">
        <f aca="false">R12*GP_Cash</f>
        <v>202.374653148909</v>
      </c>
      <c r="S20" s="35" t="n">
        <f aca="false">S12*GP_Cash</f>
        <v>240.756899918996</v>
      </c>
      <c r="T20" s="35" t="n">
        <f aca="false">T12*GP_Cash</f>
        <v>284.764281123476</v>
      </c>
      <c r="U20" s="35" t="n">
        <f aca="false">U12*GP_Cash</f>
        <v>335.046386640527</v>
      </c>
      <c r="V20" s="35" t="n">
        <f aca="false">V12*GP_Cash</f>
        <v>392.313730568642</v>
      </c>
      <c r="W20" s="35" t="n">
        <f aca="false">W12*GP_Cash</f>
        <v>457.342443251239</v>
      </c>
      <c r="X20" s="35" t="n">
        <f aca="false">X12*GP_Cash</f>
        <v>530.979264235063</v>
      </c>
      <c r="Y20" s="35" t="n">
        <f aca="false">Y12*GP_Cash</f>
        <v>614.146853834307</v>
      </c>
      <c r="Z20" s="35" t="n">
        <f aca="false">Z12*GP_Cash</f>
        <v>707.849442248392</v>
      </c>
      <c r="AA20" s="35" t="n">
        <f aca="false">AA12*GP_Cash</f>
        <v>813.178836587615</v>
      </c>
      <c r="AB20" s="35" t="n">
        <f aca="false">AB12*GP_Cash</f>
        <v>931.320807710335</v>
      </c>
      <c r="AC20" s="35" t="n">
        <f aca="false">AC12*GP_Cash</f>
        <v>1063.56188048264</v>
      </c>
      <c r="AD20" s="35" t="n">
        <f aca="false">AD12*GP_Cash</f>
        <v>1211.29655295164</v>
      </c>
      <c r="AE20" s="35" t="n">
        <f aca="false">AE12*GP_Cash</f>
        <v>1376.03497199331</v>
      </c>
      <c r="AF20" s="35" t="n">
        <f aca="false">AF12*GP_Cash</f>
        <v>1559.41109527269</v>
      </c>
    </row>
    <row r="21" customFormat="false" ht="15" hidden="false" customHeight="false" outlineLevel="0" collapsed="false">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row>
    <row r="22" customFormat="false" ht="15" hidden="false" customHeight="false" outlineLevel="0" collapsed="false">
      <c r="A22" s="6"/>
      <c r="B22" s="10" t="s">
        <v>130</v>
      </c>
      <c r="C22" s="32" t="n">
        <f aca="false">IF(GP_Years_To_Ret&gt;=0,1,MAX(0,1+GP_Years_To_Ret*Flow_Decay))</f>
        <v>1</v>
      </c>
      <c r="D22" s="32" t="n">
        <f aca="false">IF(GP_Years_To_Ret&gt;=0,1,MAX(0,1+GP_Years_To_Ret*Flow_Decay))</f>
        <v>1</v>
      </c>
      <c r="E22" s="32" t="n">
        <f aca="false">IF(GP_Years_To_Ret&gt;=0,1,MAX(0,1+GP_Years_To_Ret*Flow_Decay))</f>
        <v>1</v>
      </c>
      <c r="F22" s="32" t="n">
        <f aca="false">IF(GP_Years_To_Ret&gt;=0,1,MAX(0,1+GP_Years_To_Ret*Flow_Decay))</f>
        <v>1</v>
      </c>
      <c r="G22" s="32" t="n">
        <f aca="false">IF(GP_Years_To_Ret&gt;=0,1,MAX(0,1+GP_Years_To_Ret*Flow_Decay))</f>
        <v>1</v>
      </c>
      <c r="H22" s="32" t="n">
        <f aca="false">IF(GP_Years_To_Ret&gt;=0,1,MAX(0,1+GP_Years_To_Ret*Flow_Decay))</f>
        <v>1</v>
      </c>
      <c r="I22" s="32" t="n">
        <f aca="false">IF(GP_Years_To_Ret&gt;=0,1,MAX(0,1+GP_Years_To_Ret*Flow_Decay))</f>
        <v>1</v>
      </c>
      <c r="J22" s="32" t="n">
        <f aca="false">IF(GP_Years_To_Ret&gt;=0,1,MAX(0,1+GP_Years_To_Ret*Flow_Decay))</f>
        <v>1</v>
      </c>
      <c r="K22" s="32" t="n">
        <f aca="false">IF(GP_Years_To_Ret&gt;=0,1,MAX(0,1+GP_Years_To_Ret*Flow_Decay))</f>
        <v>1</v>
      </c>
      <c r="L22" s="32" t="n">
        <f aca="false">IF(GP_Years_To_Ret&gt;=0,1,MAX(0,1+GP_Years_To_Ret*Flow_Decay))</f>
        <v>1</v>
      </c>
      <c r="M22" s="32" t="n">
        <f aca="false">IF(GP_Years_To_Ret&gt;=0,1,MAX(0,1+GP_Years_To_Ret*Flow_Decay))</f>
        <v>1</v>
      </c>
      <c r="N22" s="32" t="n">
        <f aca="false">IF(GP_Years_To_Ret&gt;=0,1,MAX(0,1+GP_Years_To_Ret*Flow_Decay))</f>
        <v>1</v>
      </c>
      <c r="O22" s="32" t="n">
        <f aca="false">IF(GP_Years_To_Ret&gt;=0,1,MAX(0,1+GP_Years_To_Ret*Flow_Decay))</f>
        <v>1</v>
      </c>
      <c r="P22" s="32" t="n">
        <f aca="false">IF(GP_Years_To_Ret&gt;=0,1,MAX(0,1+GP_Years_To_Ret*Flow_Decay))</f>
        <v>1</v>
      </c>
      <c r="Q22" s="32" t="n">
        <f aca="false">IF(GP_Years_To_Ret&gt;=0,1,MAX(0,1+GP_Years_To_Ret*Flow_Decay))</f>
        <v>1</v>
      </c>
      <c r="R22" s="32" t="n">
        <f aca="false">IF(GP_Years_To_Ret&gt;=0,1,MAX(0,1+GP_Years_To_Ret*Flow_Decay))</f>
        <v>1</v>
      </c>
      <c r="S22" s="32" t="n">
        <f aca="false">IF(GP_Years_To_Ret&gt;=0,1,MAX(0,1+GP_Years_To_Ret*Flow_Decay))</f>
        <v>1</v>
      </c>
      <c r="T22" s="32" t="n">
        <f aca="false">IF(GP_Years_To_Ret&gt;=0,1,MAX(0,1+GP_Years_To_Ret*Flow_Decay))</f>
        <v>1</v>
      </c>
      <c r="U22" s="32" t="n">
        <f aca="false">IF(GP_Years_To_Ret&gt;=0,1,MAX(0,1+GP_Years_To_Ret*Flow_Decay))</f>
        <v>1</v>
      </c>
      <c r="V22" s="32" t="n">
        <f aca="false">IF(GP_Years_To_Ret&gt;=0,1,MAX(0,1+GP_Years_To_Ret*Flow_Decay))</f>
        <v>1</v>
      </c>
      <c r="W22" s="32" t="n">
        <f aca="false">IF(GP_Years_To_Ret&gt;=0,1,MAX(0,1+GP_Years_To_Ret*Flow_Decay))</f>
        <v>1</v>
      </c>
      <c r="X22" s="32" t="n">
        <f aca="false">IF(GP_Years_To_Ret&gt;=0,1,MAX(0,1+GP_Years_To_Ret*Flow_Decay))</f>
        <v>1</v>
      </c>
      <c r="Y22" s="32" t="n">
        <f aca="false">IF(GP_Years_To_Ret&gt;=0,1,MAX(0,1+GP_Years_To_Ret*Flow_Decay))</f>
        <v>1</v>
      </c>
      <c r="Z22" s="32" t="n">
        <f aca="false">IF(GP_Years_To_Ret&gt;=0,1,MAX(0,1+GP_Years_To_Ret*Flow_Decay))</f>
        <v>1</v>
      </c>
      <c r="AA22" s="32" t="n">
        <f aca="false">IF(GP_Years_To_Ret&gt;=0,1,MAX(0,1+GP_Years_To_Ret*Flow_Decay))</f>
        <v>1</v>
      </c>
      <c r="AB22" s="32" t="n">
        <f aca="false">IF(GP_Years_To_Ret&gt;=0,1,MAX(0,1+GP_Years_To_Ret*Flow_Decay))</f>
        <v>1</v>
      </c>
      <c r="AC22" s="32" t="n">
        <f aca="false">IF(GP_Years_To_Ret&gt;=0,1,MAX(0,1+GP_Years_To_Ret*Flow_Decay))</f>
        <v>1</v>
      </c>
      <c r="AD22" s="32" t="n">
        <f aca="false">IF(GP_Years_To_Ret&gt;=0,1,MAX(0,1+GP_Years_To_Ret*Flow_Decay))</f>
        <v>1</v>
      </c>
      <c r="AE22" s="32" t="n">
        <f aca="false">IF(GP_Years_To_Ret&gt;=0,1,MAX(0,1+GP_Years_To_Ret*Flow_Decay))</f>
        <v>1</v>
      </c>
      <c r="AF22" s="32" t="n">
        <f aca="false">IF(GP_Years_To_Ret&gt;=0,1,MAX(0,1+GP_Years_To_Ret*Flow_Decay))</f>
        <v>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F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32" min="3" style="0" width="12"/>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6"/>
      <c r="AF1" s="6"/>
    </row>
    <row r="2" customFormat="false" ht="21.75" hidden="false" customHeight="true" outlineLevel="0" collapsed="false">
      <c r="A2" s="1"/>
      <c r="B2" s="21" t="s">
        <v>13</v>
      </c>
      <c r="C2" s="1"/>
      <c r="D2" s="1"/>
      <c r="E2" s="1"/>
      <c r="F2" s="1"/>
      <c r="G2" s="1"/>
      <c r="H2" s="1"/>
      <c r="I2" s="1"/>
      <c r="J2" s="1"/>
      <c r="K2" s="1"/>
      <c r="L2" s="1"/>
      <c r="M2" s="1"/>
      <c r="N2" s="1"/>
      <c r="O2" s="1"/>
      <c r="P2" s="1"/>
      <c r="Q2" s="1"/>
      <c r="R2" s="1"/>
      <c r="S2" s="1"/>
      <c r="T2" s="1"/>
      <c r="U2" s="1"/>
      <c r="V2" s="1"/>
      <c r="W2" s="1"/>
      <c r="X2" s="1"/>
      <c r="Y2" s="1"/>
      <c r="Z2" s="1"/>
      <c r="AA2" s="1"/>
      <c r="AB2" s="1"/>
      <c r="AC2" s="1"/>
      <c r="AD2" s="1"/>
      <c r="AE2" s="6"/>
      <c r="AF2" s="6"/>
    </row>
    <row r="3" customFormat="false" ht="15" hidden="false" customHeight="false" outlineLevel="0" collapsed="false">
      <c r="A3" s="1"/>
      <c r="B3" s="22" t="s">
        <v>131</v>
      </c>
      <c r="C3" s="1"/>
      <c r="D3" s="1"/>
      <c r="E3" s="1"/>
      <c r="F3" s="1"/>
      <c r="G3" s="1"/>
      <c r="H3" s="1"/>
      <c r="I3" s="1"/>
      <c r="J3" s="1"/>
      <c r="K3" s="1"/>
      <c r="L3" s="1"/>
      <c r="M3" s="1"/>
      <c r="N3" s="1"/>
      <c r="O3" s="1"/>
      <c r="P3" s="1"/>
      <c r="Q3" s="1"/>
      <c r="R3" s="1"/>
      <c r="S3" s="1"/>
      <c r="T3" s="1"/>
      <c r="U3" s="1"/>
      <c r="V3" s="1"/>
      <c r="W3" s="1"/>
      <c r="X3" s="1"/>
      <c r="Y3" s="1"/>
      <c r="Z3" s="1"/>
      <c r="AA3" s="1"/>
      <c r="AB3" s="1"/>
      <c r="AC3" s="1"/>
      <c r="AD3" s="1"/>
      <c r="AE3" s="6"/>
      <c r="AF3" s="6"/>
    </row>
    <row r="4" customFormat="false" ht="15" hidden="false" customHeight="false" outlineLevel="0" collapsed="false">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row>
    <row r="5" customFormat="false" ht="15" hidden="false" customHeight="false" outlineLevel="0" collapsed="false">
      <c r="A5" s="6"/>
      <c r="B5" s="29" t="s">
        <v>36</v>
      </c>
      <c r="C5" s="30" t="n">
        <f aca="false">Launch_Year+0</f>
        <v>2025</v>
      </c>
      <c r="D5" s="30" t="n">
        <f aca="false">Launch_Year+1</f>
        <v>2026</v>
      </c>
      <c r="E5" s="30" t="n">
        <f aca="false">Launch_Year+2</f>
        <v>2027</v>
      </c>
      <c r="F5" s="30" t="n">
        <f aca="false">Launch_Year+3</f>
        <v>2028</v>
      </c>
      <c r="G5" s="30" t="n">
        <f aca="false">Launch_Year+4</f>
        <v>2029</v>
      </c>
      <c r="H5" s="30" t="n">
        <f aca="false">Launch_Year+5</f>
        <v>2030</v>
      </c>
      <c r="I5" s="30" t="n">
        <f aca="false">Launch_Year+6</f>
        <v>2031</v>
      </c>
      <c r="J5" s="30" t="n">
        <f aca="false">Launch_Year+7</f>
        <v>2032</v>
      </c>
      <c r="K5" s="30" t="n">
        <f aca="false">Launch_Year+8</f>
        <v>2033</v>
      </c>
      <c r="L5" s="30" t="n">
        <f aca="false">Launch_Year+9</f>
        <v>2034</v>
      </c>
      <c r="M5" s="30" t="n">
        <f aca="false">Launch_Year+10</f>
        <v>2035</v>
      </c>
      <c r="N5" s="30" t="n">
        <f aca="false">Launch_Year+11</f>
        <v>2036</v>
      </c>
      <c r="O5" s="30" t="n">
        <f aca="false">Launch_Year+12</f>
        <v>2037</v>
      </c>
      <c r="P5" s="30" t="n">
        <f aca="false">Launch_Year+13</f>
        <v>2038</v>
      </c>
      <c r="Q5" s="30" t="n">
        <f aca="false">Launch_Year+14</f>
        <v>2039</v>
      </c>
      <c r="R5" s="30" t="n">
        <f aca="false">Launch_Year+15</f>
        <v>2040</v>
      </c>
      <c r="S5" s="30" t="n">
        <f aca="false">Launch_Year+16</f>
        <v>2041</v>
      </c>
      <c r="T5" s="30" t="n">
        <f aca="false">Launch_Year+17</f>
        <v>2042</v>
      </c>
      <c r="U5" s="30" t="n">
        <f aca="false">Launch_Year+18</f>
        <v>2043</v>
      </c>
      <c r="V5" s="30" t="n">
        <f aca="false">Launch_Year+19</f>
        <v>2044</v>
      </c>
      <c r="W5" s="30" t="n">
        <f aca="false">Launch_Year+20</f>
        <v>2045</v>
      </c>
      <c r="X5" s="30" t="n">
        <f aca="false">Launch_Year+21</f>
        <v>2046</v>
      </c>
      <c r="Y5" s="30" t="n">
        <f aca="false">Launch_Year+22</f>
        <v>2047</v>
      </c>
      <c r="Z5" s="30" t="n">
        <f aca="false">Launch_Year+23</f>
        <v>2048</v>
      </c>
      <c r="AA5" s="30" t="n">
        <f aca="false">Launch_Year+24</f>
        <v>2049</v>
      </c>
      <c r="AB5" s="30" t="n">
        <f aca="false">Launch_Year+25</f>
        <v>2050</v>
      </c>
      <c r="AC5" s="30" t="n">
        <f aca="false">Launch_Year+26</f>
        <v>2051</v>
      </c>
      <c r="AD5" s="30" t="n">
        <f aca="false">Launch_Year+27</f>
        <v>2052</v>
      </c>
      <c r="AE5" s="30" t="n">
        <f aca="false">Launch_Year+28</f>
        <v>2053</v>
      </c>
      <c r="AF5" s="30" t="n">
        <f aca="false">Launch_Year+29</f>
        <v>2054</v>
      </c>
    </row>
    <row r="6" customFormat="false" ht="15" hidden="false" customHeight="false" outlineLevel="0" collapsed="false">
      <c r="A6" s="6"/>
      <c r="B6" s="23" t="s">
        <v>132</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row>
    <row r="7" customFormat="false" ht="15" hidden="false" customHeight="false" outlineLevel="0" collapsed="false">
      <c r="A7" s="6"/>
      <c r="B7" s="10" t="s">
        <v>133</v>
      </c>
      <c r="C7" s="35" t="n">
        <f aca="false">AUM_Average*Mgmt_Fee_Bps/10000</f>
        <v>0.391680625</v>
      </c>
      <c r="D7" s="35" t="n">
        <f aca="false">AUM_Average*Mgmt_Fee_Bps/10000</f>
        <v>0.858159840088542</v>
      </c>
      <c r="E7" s="35" t="n">
        <f aca="false">AUM_Average*Mgmt_Fee_Bps/10000</f>
        <v>1.39437700741338</v>
      </c>
      <c r="F7" s="35" t="n">
        <f aca="false">AUM_Average*Mgmt_Fee_Bps/10000</f>
        <v>2.00762959100575</v>
      </c>
      <c r="G7" s="35" t="n">
        <f aca="false">AUM_Average*Mgmt_Fee_Bps/10000</f>
        <v>2.7058216391217</v>
      </c>
      <c r="H7" s="35" t="n">
        <f aca="false">AUM_Average*Mgmt_Fee_Bps/10000</f>
        <v>3.49750430733559</v>
      </c>
      <c r="I7" s="35" t="n">
        <f aca="false">AUM_Average*Mgmt_Fee_Bps/10000</f>
        <v>4.39191849177758</v>
      </c>
      <c r="J7" s="35" t="n">
        <f aca="false">AUM_Average*Mgmt_Fee_Bps/10000</f>
        <v>5.39903965761321</v>
      </c>
      <c r="K7" s="35" t="n">
        <f aca="false">AUM_Average*Mgmt_Fee_Bps/10000</f>
        <v>6.52962495209149</v>
      </c>
      <c r="L7" s="35" t="n">
        <f aca="false">AUM_Average*Mgmt_Fee_Bps/10000</f>
        <v>7.79526269624053</v>
      </c>
      <c r="M7" s="35" t="n">
        <f aca="false">AUM_Average*Mgmt_Fee_Bps/10000</f>
        <v>9.20842435463246</v>
      </c>
      <c r="N7" s="35" t="n">
        <f aca="false">AUM_Average*Mgmt_Fee_Bps/10000</f>
        <v>10.7825190886454</v>
      </c>
      <c r="O7" s="35" t="n">
        <f aca="false">AUM_Average*Mgmt_Fee_Bps/10000</f>
        <v>12.5319510053965</v>
      </c>
      <c r="P7" s="35" t="n">
        <f aca="false">AUM_Average*Mgmt_Fee_Bps/10000</f>
        <v>14.4721792220902</v>
      </c>
      <c r="Q7" s="35" t="n">
        <f aca="false">AUM_Average*Mgmt_Fee_Bps/10000</f>
        <v>16.6197808740095</v>
      </c>
      <c r="R7" s="35" t="n">
        <f aca="false">AUM_Average*Mgmt_Fee_Bps/10000</f>
        <v>18.9925172038688</v>
      </c>
      <c r="S7" s="35" t="n">
        <f aca="false">AUM_Average*Mgmt_Fee_Bps/10000</f>
        <v>21.6094028808521</v>
      </c>
      <c r="T7" s="35" t="n">
        <f aca="false">AUM_Average*Mgmt_Fee_Bps/10000</f>
        <v>24.4907787094783</v>
      </c>
      <c r="U7" s="35" t="n">
        <f aca="false">AUM_Average*Mgmt_Fee_Bps/10000</f>
        <v>27.6583879015948</v>
      </c>
      <c r="V7" s="35" t="n">
        <f aca="false">AUM_Average*Mgmt_Fee_Bps/10000</f>
        <v>31.1354560994061</v>
      </c>
      <c r="W7" s="35" t="n">
        <f aca="false">AUM_Average*Mgmt_Fee_Bps/10000</f>
        <v>34.9467753536446</v>
      </c>
      <c r="X7" s="35" t="n">
        <f aca="false">AUM_Average*Mgmt_Fee_Bps/10000</f>
        <v>39.1187922789029</v>
      </c>
      <c r="Y7" s="35" t="n">
        <f aca="false">AUM_Average*Mgmt_Fee_Bps/10000</f>
        <v>43.6797006279278</v>
      </c>
      <c r="Z7" s="35" t="n">
        <f aca="false">AUM_Average*Mgmt_Fee_Bps/10000</f>
        <v>48.6595385484697</v>
      </c>
      <c r="AA7" s="35" t="n">
        <f aca="false">AUM_Average*Mgmt_Fee_Bps/10000</f>
        <v>54.0902908102497</v>
      </c>
      <c r="AB7" s="35" t="n">
        <f aca="false">AUM_Average*Mgmt_Fee_Bps/10000</f>
        <v>60.0059963159166</v>
      </c>
      <c r="AC7" s="35" t="n">
        <f aca="false">AUM_Average*Mgmt_Fee_Bps/10000</f>
        <v>66.4428612386866</v>
      </c>
      <c r="AD7" s="35" t="n">
        <f aca="false">AUM_Average*Mgmt_Fee_Bps/10000</f>
        <v>73.4393781608888</v>
      </c>
      <c r="AE7" s="35" t="n">
        <f aca="false">AUM_Average*Mgmt_Fee_Bps/10000</f>
        <v>81.0364516220515</v>
      </c>
      <c r="AF7" s="35" t="n">
        <f aca="false">AUM_Average*Mgmt_Fee_Bps/10000</f>
        <v>89.2775305226801</v>
      </c>
    </row>
    <row r="8" customFormat="false" ht="15" hidden="false" customHeight="false" outlineLevel="0" collapsed="false">
      <c r="A8" s="6"/>
      <c r="B8" s="38" t="s">
        <v>134</v>
      </c>
      <c r="C8" s="35" t="n">
        <f aca="false">-AUM_Average*Underlying_Cost/10000</f>
        <v>-0.1342905</v>
      </c>
      <c r="D8" s="35" t="n">
        <f aca="false">-AUM_Average*Underlying_Cost/10000</f>
        <v>-0.2942262308875</v>
      </c>
      <c r="E8" s="35" t="n">
        <f aca="false">-AUM_Average*Underlying_Cost/10000</f>
        <v>-0.478072116827444</v>
      </c>
      <c r="F8" s="35" t="n">
        <f aca="false">-AUM_Average*Underlying_Cost/10000</f>
        <v>-0.688330145487687</v>
      </c>
      <c r="G8" s="35" t="n">
        <f aca="false">-AUM_Average*Underlying_Cost/10000</f>
        <v>-0.927710276270297</v>
      </c>
      <c r="H8" s="35" t="n">
        <f aca="false">-AUM_Average*Underlying_Cost/10000</f>
        <v>-1.19914433394363</v>
      </c>
      <c r="I8" s="35" t="n">
        <f aca="false">-AUM_Average*Underlying_Cost/10000</f>
        <v>-1.50580062575231</v>
      </c>
      <c r="J8" s="35" t="n">
        <f aca="false">-AUM_Average*Underlying_Cost/10000</f>
        <v>-1.85109931118167</v>
      </c>
      <c r="K8" s="35" t="n">
        <f aca="false">-AUM_Average*Underlying_Cost/10000</f>
        <v>-2.2387285550028</v>
      </c>
      <c r="L8" s="35" t="n">
        <f aca="false">-AUM_Average*Underlying_Cost/10000</f>
        <v>-2.6726614958539</v>
      </c>
      <c r="M8" s="35" t="n">
        <f aca="false">-AUM_Average*Underlying_Cost/10000</f>
        <v>-3.15717406444541</v>
      </c>
      <c r="N8" s="35" t="n">
        <f aca="false">-AUM_Average*Underlying_Cost/10000</f>
        <v>-3.69686368753556</v>
      </c>
      <c r="O8" s="35" t="n">
        <f aca="false">-AUM_Average*Underlying_Cost/10000</f>
        <v>-4.29666891613593</v>
      </c>
      <c r="P8" s="35" t="n">
        <f aca="false">-AUM_Average*Underlying_Cost/10000</f>
        <v>-4.96189001900236</v>
      </c>
      <c r="Q8" s="35" t="n">
        <f aca="false">-AUM_Average*Underlying_Cost/10000</f>
        <v>-5.69821058537469</v>
      </c>
      <c r="R8" s="35" t="n">
        <f aca="false">-AUM_Average*Underlying_Cost/10000</f>
        <v>-6.5117201841836</v>
      </c>
      <c r="S8" s="35" t="n">
        <f aca="false">-AUM_Average*Underlying_Cost/10000</f>
        <v>-7.40893813057785</v>
      </c>
      <c r="T8" s="35" t="n">
        <f aca="false">-AUM_Average*Underlying_Cost/10000</f>
        <v>-8.39683841467828</v>
      </c>
      <c r="U8" s="35" t="n">
        <f aca="false">-AUM_Average*Underlying_Cost/10000</f>
        <v>-9.48287585197537</v>
      </c>
      <c r="V8" s="35" t="n">
        <f aca="false">-AUM_Average*Underlying_Cost/10000</f>
        <v>-10.6750135197964</v>
      </c>
      <c r="W8" s="35" t="n">
        <f aca="false">-AUM_Average*Underlying_Cost/10000</f>
        <v>-11.981751549821</v>
      </c>
      <c r="X8" s="35" t="n">
        <f aca="false">-AUM_Average*Underlying_Cost/10000</f>
        <v>-13.4121573527667</v>
      </c>
      <c r="Y8" s="35" t="n">
        <f aca="false">-AUM_Average*Underlying_Cost/10000</f>
        <v>-14.9758973581467</v>
      </c>
      <c r="Z8" s="35" t="n">
        <f aca="false">-AUM_Average*Underlying_Cost/10000</f>
        <v>-16.6832703594753</v>
      </c>
      <c r="AA8" s="35" t="n">
        <f aca="false">-AUM_Average*Underlying_Cost/10000</f>
        <v>-18.5452425635142</v>
      </c>
      <c r="AB8" s="35" t="n">
        <f aca="false">-AUM_Average*Underlying_Cost/10000</f>
        <v>-20.5734844511714</v>
      </c>
      <c r="AC8" s="35" t="n">
        <f aca="false">-AUM_Average*Underlying_Cost/10000</f>
        <v>-22.7804095675497</v>
      </c>
      <c r="AD8" s="35" t="n">
        <f aca="false">-AUM_Average*Underlying_Cost/10000</f>
        <v>-25.1792153694476</v>
      </c>
      <c r="AE8" s="35" t="n">
        <f aca="false">-AUM_Average*Underlying_Cost/10000</f>
        <v>-27.7839262704177</v>
      </c>
      <c r="AF8" s="35" t="n">
        <f aca="false">-AUM_Average*Underlying_Cost/10000</f>
        <v>-30.6094390363475</v>
      </c>
    </row>
    <row r="9" customFormat="false" ht="15" hidden="false" customHeight="false" outlineLevel="0" collapsed="false">
      <c r="A9" s="6"/>
      <c r="B9" s="39" t="s">
        <v>135</v>
      </c>
      <c r="C9" s="40" t="n">
        <f aca="false">C7+C8</f>
        <v>0.257390125</v>
      </c>
      <c r="D9" s="40" t="n">
        <f aca="false">D7+D8</f>
        <v>0.563933609201042</v>
      </c>
      <c r="E9" s="40" t="n">
        <f aca="false">E7+E8</f>
        <v>0.916304890585935</v>
      </c>
      <c r="F9" s="40" t="n">
        <f aca="false">F7+F8</f>
        <v>1.31929944551807</v>
      </c>
      <c r="G9" s="40" t="n">
        <f aca="false">G7+G8</f>
        <v>1.7781113628514</v>
      </c>
      <c r="H9" s="40" t="n">
        <f aca="false">H7+H8</f>
        <v>2.29835997339196</v>
      </c>
      <c r="I9" s="40" t="n">
        <f aca="false">I7+I8</f>
        <v>2.88611786602527</v>
      </c>
      <c r="J9" s="40" t="n">
        <f aca="false">J7+J8</f>
        <v>3.54794034643154</v>
      </c>
      <c r="K9" s="40" t="n">
        <f aca="false">K7+K8</f>
        <v>4.29089639708869</v>
      </c>
      <c r="L9" s="40" t="n">
        <f aca="false">L7+L8</f>
        <v>5.12260120038664</v>
      </c>
      <c r="M9" s="40" t="n">
        <f aca="false">M7+M8</f>
        <v>6.05125029018704</v>
      </c>
      <c r="N9" s="40" t="n">
        <f aca="false">N7+N8</f>
        <v>7.08565540110982</v>
      </c>
      <c r="O9" s="40" t="n">
        <f aca="false">O7+O8</f>
        <v>8.23528208926053</v>
      </c>
      <c r="P9" s="40" t="n">
        <f aca="false">P7+P8</f>
        <v>9.51028920308786</v>
      </c>
      <c r="Q9" s="40" t="n">
        <f aca="false">Q7+Q8</f>
        <v>10.9215702886348</v>
      </c>
      <c r="R9" s="40" t="n">
        <f aca="false">R7+R8</f>
        <v>12.4807970196852</v>
      </c>
      <c r="S9" s="40" t="n">
        <f aca="false">S7+S8</f>
        <v>14.2004647502742</v>
      </c>
      <c r="T9" s="40" t="n">
        <f aca="false">T7+T8</f>
        <v>16.0939402948</v>
      </c>
      <c r="U9" s="40" t="n">
        <f aca="false">U7+U8</f>
        <v>18.1755120496195</v>
      </c>
      <c r="V9" s="40" t="n">
        <f aca="false">V7+V8</f>
        <v>20.4604425796097</v>
      </c>
      <c r="W9" s="40" t="n">
        <f aca="false">W7+W8</f>
        <v>22.9650238038236</v>
      </c>
      <c r="X9" s="40" t="n">
        <f aca="false">X7+X8</f>
        <v>25.7066349261362</v>
      </c>
      <c r="Y9" s="40" t="n">
        <f aca="false">Y7+Y8</f>
        <v>28.7038032697811</v>
      </c>
      <c r="Z9" s="40" t="n">
        <f aca="false">Z7+Z8</f>
        <v>31.9762681889944</v>
      </c>
      <c r="AA9" s="40" t="n">
        <f aca="false">AA7+AA8</f>
        <v>35.5450482467355</v>
      </c>
      <c r="AB9" s="40" t="n">
        <f aca="false">AB7+AB8</f>
        <v>39.4325118647452</v>
      </c>
      <c r="AC9" s="40" t="n">
        <f aca="false">AC7+AC8</f>
        <v>43.6624516711369</v>
      </c>
      <c r="AD9" s="40" t="n">
        <f aca="false">AD7+AD8</f>
        <v>48.2601627914412</v>
      </c>
      <c r="AE9" s="40" t="n">
        <f aca="false">AE7+AE8</f>
        <v>53.2525253516338</v>
      </c>
      <c r="AF9" s="40" t="n">
        <f aca="false">AF7+AF8</f>
        <v>58.6680914863326</v>
      </c>
    </row>
    <row r="10" customFormat="false" ht="15" hidden="false" customHeight="false" outlineLevel="0" collapsed="false">
      <c r="A10" s="6"/>
      <c r="B10" s="38" t="s">
        <v>53</v>
      </c>
      <c r="C10" s="35" t="n">
        <f aca="false">AUM_Average*Sec_Lending_Bps/10000</f>
        <v>0.011190875</v>
      </c>
      <c r="D10" s="35" t="n">
        <f aca="false">AUM_Average*Sec_Lending_Bps/10000</f>
        <v>0.0245188525739583</v>
      </c>
      <c r="E10" s="35" t="n">
        <f aca="false">AUM_Average*Sec_Lending_Bps/10000</f>
        <v>0.0398393430689537</v>
      </c>
      <c r="F10" s="35" t="n">
        <f aca="false">AUM_Average*Sec_Lending_Bps/10000</f>
        <v>0.0573608454573072</v>
      </c>
      <c r="G10" s="35" t="n">
        <f aca="false">AUM_Average*Sec_Lending_Bps/10000</f>
        <v>0.0773091896891914</v>
      </c>
      <c r="H10" s="35" t="n">
        <f aca="false">AUM_Average*Sec_Lending_Bps/10000</f>
        <v>0.0999286944953025</v>
      </c>
      <c r="I10" s="35" t="n">
        <f aca="false">AUM_Average*Sec_Lending_Bps/10000</f>
        <v>0.12548338547936</v>
      </c>
      <c r="J10" s="35" t="n">
        <f aca="false">AUM_Average*Sec_Lending_Bps/10000</f>
        <v>0.154258275931806</v>
      </c>
      <c r="K10" s="35" t="n">
        <f aca="false">AUM_Average*Sec_Lending_Bps/10000</f>
        <v>0.1865607129169</v>
      </c>
      <c r="L10" s="35" t="n">
        <f aca="false">AUM_Average*Sec_Lending_Bps/10000</f>
        <v>0.222721791321158</v>
      </c>
      <c r="M10" s="35" t="n">
        <f aca="false">AUM_Average*Sec_Lending_Bps/10000</f>
        <v>0.263097838703784</v>
      </c>
      <c r="N10" s="35" t="n">
        <f aca="false">AUM_Average*Sec_Lending_Bps/10000</f>
        <v>0.308071973961296</v>
      </c>
      <c r="O10" s="35" t="n">
        <f aca="false">AUM_Average*Sec_Lending_Bps/10000</f>
        <v>0.358055743011327</v>
      </c>
      <c r="P10" s="35" t="n">
        <f aca="false">AUM_Average*Sec_Lending_Bps/10000</f>
        <v>0.413490834916864</v>
      </c>
      <c r="Q10" s="35" t="n">
        <f aca="false">AUM_Average*Sec_Lending_Bps/10000</f>
        <v>0.474850882114558</v>
      </c>
      <c r="R10" s="35" t="n">
        <f aca="false">AUM_Average*Sec_Lending_Bps/10000</f>
        <v>0.542643348681967</v>
      </c>
      <c r="S10" s="35" t="n">
        <f aca="false">AUM_Average*Sec_Lending_Bps/10000</f>
        <v>0.617411510881487</v>
      </c>
      <c r="T10" s="35" t="n">
        <f aca="false">AUM_Average*Sec_Lending_Bps/10000</f>
        <v>0.699736534556523</v>
      </c>
      <c r="U10" s="35" t="n">
        <f aca="false">AUM_Average*Sec_Lending_Bps/10000</f>
        <v>0.790239654331281</v>
      </c>
      <c r="V10" s="35" t="n">
        <f aca="false">AUM_Average*Sec_Lending_Bps/10000</f>
        <v>0.889584459983031</v>
      </c>
      <c r="W10" s="35" t="n">
        <f aca="false">AUM_Average*Sec_Lending_Bps/10000</f>
        <v>0.998479295818416</v>
      </c>
      <c r="X10" s="35" t="n">
        <f aca="false">AUM_Average*Sec_Lending_Bps/10000</f>
        <v>1.11767977939723</v>
      </c>
      <c r="Y10" s="35" t="n">
        <f aca="false">AUM_Average*Sec_Lending_Bps/10000</f>
        <v>1.24799144651222</v>
      </c>
      <c r="Z10" s="35" t="n">
        <f aca="false">AUM_Average*Sec_Lending_Bps/10000</f>
        <v>1.39027252995628</v>
      </c>
      <c r="AA10" s="35" t="n">
        <f aca="false">AUM_Average*Sec_Lending_Bps/10000</f>
        <v>1.54543688029285</v>
      </c>
      <c r="AB10" s="35" t="n">
        <f aca="false">AUM_Average*Sec_Lending_Bps/10000</f>
        <v>1.71445703759762</v>
      </c>
      <c r="AC10" s="35" t="n">
        <f aca="false">AUM_Average*Sec_Lending_Bps/10000</f>
        <v>1.89836746396247</v>
      </c>
      <c r="AD10" s="35" t="n">
        <f aca="false">AUM_Average*Sec_Lending_Bps/10000</f>
        <v>2.09826794745396</v>
      </c>
      <c r="AE10" s="35" t="n">
        <f aca="false">AUM_Average*Sec_Lending_Bps/10000</f>
        <v>2.31532718920147</v>
      </c>
      <c r="AF10" s="35" t="n">
        <f aca="false">AUM_Average*Sec_Lending_Bps/10000</f>
        <v>2.55078658636229</v>
      </c>
    </row>
    <row r="11" customFormat="false" ht="15" hidden="false" customHeight="false" outlineLevel="0" collapsed="false">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row>
    <row r="12" customFormat="false" ht="15" hidden="false" customHeight="false" outlineLevel="0" collapsed="false">
      <c r="A12" s="6"/>
      <c r="B12" s="36" t="s">
        <v>136</v>
      </c>
      <c r="C12" s="37" t="n">
        <f aca="false">C9+C10</f>
        <v>0.268581</v>
      </c>
      <c r="D12" s="37" t="n">
        <f aca="false">D9+D10</f>
        <v>0.588452461775</v>
      </c>
      <c r="E12" s="37" t="n">
        <f aca="false">E9+E10</f>
        <v>0.956144233654888</v>
      </c>
      <c r="F12" s="37" t="n">
        <f aca="false">F9+F10</f>
        <v>1.37666029097537</v>
      </c>
      <c r="G12" s="37" t="n">
        <f aca="false">G9+G10</f>
        <v>1.85542055254059</v>
      </c>
      <c r="H12" s="37" t="n">
        <f aca="false">H9+H10</f>
        <v>2.39828866788726</v>
      </c>
      <c r="I12" s="37" t="n">
        <f aca="false">I9+I10</f>
        <v>3.01160125150463</v>
      </c>
      <c r="J12" s="37" t="n">
        <f aca="false">J9+J10</f>
        <v>3.70219862236334</v>
      </c>
      <c r="K12" s="37" t="n">
        <f aca="false">K9+K10</f>
        <v>4.47745711000559</v>
      </c>
      <c r="L12" s="37" t="n">
        <f aca="false">L9+L10</f>
        <v>5.34532299170779</v>
      </c>
      <c r="M12" s="37" t="n">
        <f aca="false">M9+M10</f>
        <v>6.31434812889083</v>
      </c>
      <c r="N12" s="37" t="n">
        <f aca="false">N9+N10</f>
        <v>7.39372737507111</v>
      </c>
      <c r="O12" s="37" t="n">
        <f aca="false">O9+O10</f>
        <v>8.59333783227186</v>
      </c>
      <c r="P12" s="37" t="n">
        <f aca="false">P9+P10</f>
        <v>9.92378003800473</v>
      </c>
      <c r="Q12" s="37" t="n">
        <f aca="false">Q9+Q10</f>
        <v>11.3964211707494</v>
      </c>
      <c r="R12" s="37" t="n">
        <f aca="false">R9+R10</f>
        <v>13.0234403683672</v>
      </c>
      <c r="S12" s="37" t="n">
        <f aca="false">S9+S10</f>
        <v>14.8178762611557</v>
      </c>
      <c r="T12" s="37" t="n">
        <f aca="false">T9+T10</f>
        <v>16.7936768293566</v>
      </c>
      <c r="U12" s="37" t="n">
        <f aca="false">U9+U10</f>
        <v>18.9657517039507</v>
      </c>
      <c r="V12" s="37" t="n">
        <f aca="false">V9+V10</f>
        <v>21.3500270395928</v>
      </c>
      <c r="W12" s="37" t="n">
        <f aca="false">W9+W10</f>
        <v>23.963503099642</v>
      </c>
      <c r="X12" s="37" t="n">
        <f aca="false">X9+X10</f>
        <v>26.8243147055334</v>
      </c>
      <c r="Y12" s="37" t="n">
        <f aca="false">Y9+Y10</f>
        <v>29.9517947162934</v>
      </c>
      <c r="Z12" s="37" t="n">
        <f aca="false">Z9+Z10</f>
        <v>33.3665407189506</v>
      </c>
      <c r="AA12" s="37" t="n">
        <f aca="false">AA9+AA10</f>
        <v>37.0904851270284</v>
      </c>
      <c r="AB12" s="37" t="n">
        <f aca="false">AB9+AB10</f>
        <v>41.1469689023428</v>
      </c>
      <c r="AC12" s="37" t="n">
        <f aca="false">AC9+AC10</f>
        <v>45.5608191350994</v>
      </c>
      <c r="AD12" s="37" t="n">
        <f aca="false">AD9+AD10</f>
        <v>50.3584307388951</v>
      </c>
      <c r="AE12" s="37" t="n">
        <f aca="false">AE9+AE10</f>
        <v>55.5678525408353</v>
      </c>
      <c r="AF12" s="37" t="n">
        <f aca="false">AF9+AF10</f>
        <v>61.2188780726949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F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32" min="3" style="0" width="12"/>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6"/>
      <c r="AF1" s="6"/>
    </row>
    <row r="2" customFormat="false" ht="21.75" hidden="false" customHeight="true" outlineLevel="0" collapsed="false">
      <c r="A2" s="1"/>
      <c r="B2" s="21" t="s">
        <v>137</v>
      </c>
      <c r="C2" s="1"/>
      <c r="D2" s="1"/>
      <c r="E2" s="1"/>
      <c r="F2" s="1"/>
      <c r="G2" s="1"/>
      <c r="H2" s="1"/>
      <c r="I2" s="1"/>
      <c r="J2" s="1"/>
      <c r="K2" s="1"/>
      <c r="L2" s="1"/>
      <c r="M2" s="1"/>
      <c r="N2" s="1"/>
      <c r="O2" s="1"/>
      <c r="P2" s="1"/>
      <c r="Q2" s="1"/>
      <c r="R2" s="1"/>
      <c r="S2" s="1"/>
      <c r="T2" s="1"/>
      <c r="U2" s="1"/>
      <c r="V2" s="1"/>
      <c r="W2" s="1"/>
      <c r="X2" s="1"/>
      <c r="Y2" s="1"/>
      <c r="Z2" s="1"/>
      <c r="AA2" s="1"/>
      <c r="AB2" s="1"/>
      <c r="AC2" s="1"/>
      <c r="AD2" s="1"/>
      <c r="AE2" s="6"/>
      <c r="AF2" s="6"/>
    </row>
    <row r="3" customFormat="false" ht="15" hidden="false" customHeight="false" outlineLevel="0" collapsed="false">
      <c r="A3" s="1"/>
      <c r="B3" s="22" t="s">
        <v>138</v>
      </c>
      <c r="C3" s="1"/>
      <c r="D3" s="1"/>
      <c r="E3" s="1"/>
      <c r="F3" s="1"/>
      <c r="G3" s="1"/>
      <c r="H3" s="1"/>
      <c r="I3" s="1"/>
      <c r="J3" s="1"/>
      <c r="K3" s="1"/>
      <c r="L3" s="1"/>
      <c r="M3" s="1"/>
      <c r="N3" s="1"/>
      <c r="O3" s="1"/>
      <c r="P3" s="1"/>
      <c r="Q3" s="1"/>
      <c r="R3" s="1"/>
      <c r="S3" s="1"/>
      <c r="T3" s="1"/>
      <c r="U3" s="1"/>
      <c r="V3" s="1"/>
      <c r="W3" s="1"/>
      <c r="X3" s="1"/>
      <c r="Y3" s="1"/>
      <c r="Z3" s="1"/>
      <c r="AA3" s="1"/>
      <c r="AB3" s="1"/>
      <c r="AC3" s="1"/>
      <c r="AD3" s="1"/>
      <c r="AE3" s="6"/>
      <c r="AF3" s="6"/>
    </row>
    <row r="4" customFormat="false" ht="15" hidden="false" customHeight="false" outlineLevel="0" collapsed="false">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row>
    <row r="5" customFormat="false" ht="15" hidden="false" customHeight="false" outlineLevel="0" collapsed="false">
      <c r="A5" s="6"/>
      <c r="B5" s="29" t="s">
        <v>36</v>
      </c>
      <c r="C5" s="30" t="n">
        <f aca="false">Launch_Year+0</f>
        <v>2025</v>
      </c>
      <c r="D5" s="30" t="n">
        <f aca="false">Launch_Year+1</f>
        <v>2026</v>
      </c>
      <c r="E5" s="30" t="n">
        <f aca="false">Launch_Year+2</f>
        <v>2027</v>
      </c>
      <c r="F5" s="30" t="n">
        <f aca="false">Launch_Year+3</f>
        <v>2028</v>
      </c>
      <c r="G5" s="30" t="n">
        <f aca="false">Launch_Year+4</f>
        <v>2029</v>
      </c>
      <c r="H5" s="30" t="n">
        <f aca="false">Launch_Year+5</f>
        <v>2030</v>
      </c>
      <c r="I5" s="30" t="n">
        <f aca="false">Launch_Year+6</f>
        <v>2031</v>
      </c>
      <c r="J5" s="30" t="n">
        <f aca="false">Launch_Year+7</f>
        <v>2032</v>
      </c>
      <c r="K5" s="30" t="n">
        <f aca="false">Launch_Year+8</f>
        <v>2033</v>
      </c>
      <c r="L5" s="30" t="n">
        <f aca="false">Launch_Year+9</f>
        <v>2034</v>
      </c>
      <c r="M5" s="30" t="n">
        <f aca="false">Launch_Year+10</f>
        <v>2035</v>
      </c>
      <c r="N5" s="30" t="n">
        <f aca="false">Launch_Year+11</f>
        <v>2036</v>
      </c>
      <c r="O5" s="30" t="n">
        <f aca="false">Launch_Year+12</f>
        <v>2037</v>
      </c>
      <c r="P5" s="30" t="n">
        <f aca="false">Launch_Year+13</f>
        <v>2038</v>
      </c>
      <c r="Q5" s="30" t="n">
        <f aca="false">Launch_Year+14</f>
        <v>2039</v>
      </c>
      <c r="R5" s="30" t="n">
        <f aca="false">Launch_Year+15</f>
        <v>2040</v>
      </c>
      <c r="S5" s="30" t="n">
        <f aca="false">Launch_Year+16</f>
        <v>2041</v>
      </c>
      <c r="T5" s="30" t="n">
        <f aca="false">Launch_Year+17</f>
        <v>2042</v>
      </c>
      <c r="U5" s="30" t="n">
        <f aca="false">Launch_Year+18</f>
        <v>2043</v>
      </c>
      <c r="V5" s="30" t="n">
        <f aca="false">Launch_Year+19</f>
        <v>2044</v>
      </c>
      <c r="W5" s="30" t="n">
        <f aca="false">Launch_Year+20</f>
        <v>2045</v>
      </c>
      <c r="X5" s="30" t="n">
        <f aca="false">Launch_Year+21</f>
        <v>2046</v>
      </c>
      <c r="Y5" s="30" t="n">
        <f aca="false">Launch_Year+22</f>
        <v>2047</v>
      </c>
      <c r="Z5" s="30" t="n">
        <f aca="false">Launch_Year+23</f>
        <v>2048</v>
      </c>
      <c r="AA5" s="30" t="n">
        <f aca="false">Launch_Year+24</f>
        <v>2049</v>
      </c>
      <c r="AB5" s="30" t="n">
        <f aca="false">Launch_Year+25</f>
        <v>2050</v>
      </c>
      <c r="AC5" s="30" t="n">
        <f aca="false">Launch_Year+26</f>
        <v>2051</v>
      </c>
      <c r="AD5" s="30" t="n">
        <f aca="false">Launch_Year+27</f>
        <v>2052</v>
      </c>
      <c r="AE5" s="30" t="n">
        <f aca="false">Launch_Year+28</f>
        <v>2053</v>
      </c>
      <c r="AF5" s="30" t="n">
        <f aca="false">Launch_Year+29</f>
        <v>2054</v>
      </c>
    </row>
    <row r="6" customFormat="false" ht="15" hidden="false" customHeight="false" outlineLevel="0" collapsed="false">
      <c r="A6" s="6"/>
      <c r="B6" s="23" t="s">
        <v>139</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row>
    <row r="7" customFormat="false" ht="15" hidden="false" customHeight="false" outlineLevel="0" collapsed="false">
      <c r="A7" s="6"/>
      <c r="B7" s="38" t="s">
        <v>140</v>
      </c>
      <c r="C7" s="35" t="n">
        <f aca="false">PM_Team_Cost*(1+Cost_Inflation)^0</f>
        <v>1.8</v>
      </c>
      <c r="D7" s="35" t="n">
        <f aca="false">PM_Team_Cost*(1+Cost_Inflation)^1</f>
        <v>1.845</v>
      </c>
      <c r="E7" s="35" t="n">
        <f aca="false">PM_Team_Cost*(1+Cost_Inflation)^2</f>
        <v>1.891125</v>
      </c>
      <c r="F7" s="35" t="n">
        <f aca="false">PM_Team_Cost*(1+Cost_Inflation)^3</f>
        <v>1.938403125</v>
      </c>
      <c r="G7" s="35" t="n">
        <f aca="false">PM_Team_Cost*(1+Cost_Inflation)^4</f>
        <v>1.986863203125</v>
      </c>
      <c r="H7" s="35" t="n">
        <f aca="false">PM_Team_Cost*(1+Cost_Inflation)^5</f>
        <v>2.03653478320312</v>
      </c>
      <c r="I7" s="35" t="n">
        <f aca="false">PM_Team_Cost*(1+Cost_Inflation)^6</f>
        <v>2.0874481527832</v>
      </c>
      <c r="J7" s="35" t="n">
        <f aca="false">PM_Team_Cost*(1+Cost_Inflation)^7</f>
        <v>2.13963435660278</v>
      </c>
      <c r="K7" s="35" t="n">
        <f aca="false">PM_Team_Cost*(1+Cost_Inflation)^8</f>
        <v>2.19312521551785</v>
      </c>
      <c r="L7" s="35" t="n">
        <f aca="false">PM_Team_Cost*(1+Cost_Inflation)^9</f>
        <v>2.2479533459058</v>
      </c>
      <c r="M7" s="35" t="n">
        <f aca="false">PM_Team_Cost*(1+Cost_Inflation)^10</f>
        <v>2.30415217955344</v>
      </c>
      <c r="N7" s="35" t="n">
        <f aca="false">PM_Team_Cost*(1+Cost_Inflation)^11</f>
        <v>2.36175598404228</v>
      </c>
      <c r="O7" s="35" t="n">
        <f aca="false">PM_Team_Cost*(1+Cost_Inflation)^12</f>
        <v>2.42079988364333</v>
      </c>
      <c r="P7" s="35" t="n">
        <f aca="false">PM_Team_Cost*(1+Cost_Inflation)^13</f>
        <v>2.48131988073442</v>
      </c>
      <c r="Q7" s="35" t="n">
        <f aca="false">PM_Team_Cost*(1+Cost_Inflation)^14</f>
        <v>2.54335287775278</v>
      </c>
      <c r="R7" s="35" t="n">
        <f aca="false">PM_Team_Cost*(1+Cost_Inflation)^15</f>
        <v>2.6069366996966</v>
      </c>
      <c r="S7" s="35" t="n">
        <f aca="false">PM_Team_Cost*(1+Cost_Inflation)^16</f>
        <v>2.67211011718901</v>
      </c>
      <c r="T7" s="35" t="n">
        <f aca="false">PM_Team_Cost*(1+Cost_Inflation)^17</f>
        <v>2.73891287011874</v>
      </c>
      <c r="U7" s="35" t="n">
        <f aca="false">PM_Team_Cost*(1+Cost_Inflation)^18</f>
        <v>2.80738569187171</v>
      </c>
      <c r="V7" s="35" t="n">
        <f aca="false">PM_Team_Cost*(1+Cost_Inflation)^19</f>
        <v>2.8775703341685</v>
      </c>
      <c r="W7" s="35" t="n">
        <f aca="false">PM_Team_Cost*(1+Cost_Inflation)^20</f>
        <v>2.94950959252271</v>
      </c>
      <c r="X7" s="35" t="n">
        <f aca="false">PM_Team_Cost*(1+Cost_Inflation)^21</f>
        <v>3.02324733233578</v>
      </c>
      <c r="Y7" s="35" t="n">
        <f aca="false">PM_Team_Cost*(1+Cost_Inflation)^22</f>
        <v>3.09882851564417</v>
      </c>
      <c r="Z7" s="35" t="n">
        <f aca="false">PM_Team_Cost*(1+Cost_Inflation)^23</f>
        <v>3.17629922853528</v>
      </c>
      <c r="AA7" s="35" t="n">
        <f aca="false">PM_Team_Cost*(1+Cost_Inflation)^24</f>
        <v>3.25570670924866</v>
      </c>
      <c r="AB7" s="35" t="n">
        <f aca="false">PM_Team_Cost*(1+Cost_Inflation)^25</f>
        <v>3.33709937697987</v>
      </c>
      <c r="AC7" s="35" t="n">
        <f aca="false">PM_Team_Cost*(1+Cost_Inflation)^26</f>
        <v>3.42052686140437</v>
      </c>
      <c r="AD7" s="35" t="n">
        <f aca="false">PM_Team_Cost*(1+Cost_Inflation)^27</f>
        <v>3.50604003293948</v>
      </c>
      <c r="AE7" s="35" t="n">
        <f aca="false">PM_Team_Cost*(1+Cost_Inflation)^28</f>
        <v>3.59369103376297</v>
      </c>
      <c r="AF7" s="35" t="n">
        <f aca="false">PM_Team_Cost*(1+Cost_Inflation)^29</f>
        <v>3.68353330960704</v>
      </c>
    </row>
    <row r="8" customFormat="false" ht="15" hidden="false" customHeight="false" outlineLevel="0" collapsed="false">
      <c r="A8" s="6"/>
      <c r="B8" s="38" t="s">
        <v>141</v>
      </c>
      <c r="C8" s="35" t="n">
        <f aca="false">Ops_Cost*(1+Cost_Inflation)^0</f>
        <v>1.2</v>
      </c>
      <c r="D8" s="35" t="n">
        <f aca="false">Ops_Cost*(1+Cost_Inflation)^1</f>
        <v>1.23</v>
      </c>
      <c r="E8" s="35" t="n">
        <f aca="false">Ops_Cost*(1+Cost_Inflation)^2</f>
        <v>1.26075</v>
      </c>
      <c r="F8" s="35" t="n">
        <f aca="false">Ops_Cost*(1+Cost_Inflation)^3</f>
        <v>1.29226875</v>
      </c>
      <c r="G8" s="35" t="n">
        <f aca="false">Ops_Cost*(1+Cost_Inflation)^4</f>
        <v>1.32457546875</v>
      </c>
      <c r="H8" s="35" t="n">
        <f aca="false">Ops_Cost*(1+Cost_Inflation)^5</f>
        <v>1.35768985546875</v>
      </c>
      <c r="I8" s="35" t="n">
        <f aca="false">Ops_Cost*(1+Cost_Inflation)^6</f>
        <v>1.39163210185547</v>
      </c>
      <c r="J8" s="35" t="n">
        <f aca="false">Ops_Cost*(1+Cost_Inflation)^7</f>
        <v>1.42642290440185</v>
      </c>
      <c r="K8" s="35" t="n">
        <f aca="false">Ops_Cost*(1+Cost_Inflation)^8</f>
        <v>1.4620834770119</v>
      </c>
      <c r="L8" s="35" t="n">
        <f aca="false">Ops_Cost*(1+Cost_Inflation)^9</f>
        <v>1.4986355639372</v>
      </c>
      <c r="M8" s="35" t="n">
        <f aca="false">Ops_Cost*(1+Cost_Inflation)^10</f>
        <v>1.53610145303563</v>
      </c>
      <c r="N8" s="35" t="n">
        <f aca="false">Ops_Cost*(1+Cost_Inflation)^11</f>
        <v>1.57450398936152</v>
      </c>
      <c r="O8" s="35" t="n">
        <f aca="false">Ops_Cost*(1+Cost_Inflation)^12</f>
        <v>1.61386658909556</v>
      </c>
      <c r="P8" s="35" t="n">
        <f aca="false">Ops_Cost*(1+Cost_Inflation)^13</f>
        <v>1.65421325382295</v>
      </c>
      <c r="Q8" s="35" t="n">
        <f aca="false">Ops_Cost*(1+Cost_Inflation)^14</f>
        <v>1.69556858516852</v>
      </c>
      <c r="R8" s="35" t="n">
        <f aca="false">Ops_Cost*(1+Cost_Inflation)^15</f>
        <v>1.73795779979773</v>
      </c>
      <c r="S8" s="35" t="n">
        <f aca="false">Ops_Cost*(1+Cost_Inflation)^16</f>
        <v>1.78140674479267</v>
      </c>
      <c r="T8" s="35" t="n">
        <f aca="false">Ops_Cost*(1+Cost_Inflation)^17</f>
        <v>1.82594191341249</v>
      </c>
      <c r="U8" s="35" t="n">
        <f aca="false">Ops_Cost*(1+Cost_Inflation)^18</f>
        <v>1.8715904612478</v>
      </c>
      <c r="V8" s="35" t="n">
        <f aca="false">Ops_Cost*(1+Cost_Inflation)^19</f>
        <v>1.918380222779</v>
      </c>
      <c r="W8" s="35" t="n">
        <f aca="false">Ops_Cost*(1+Cost_Inflation)^20</f>
        <v>1.96633972834847</v>
      </c>
      <c r="X8" s="35" t="n">
        <f aca="false">Ops_Cost*(1+Cost_Inflation)^21</f>
        <v>2.01549822155719</v>
      </c>
      <c r="Y8" s="35" t="n">
        <f aca="false">Ops_Cost*(1+Cost_Inflation)^22</f>
        <v>2.06588567709611</v>
      </c>
      <c r="Z8" s="35" t="n">
        <f aca="false">Ops_Cost*(1+Cost_Inflation)^23</f>
        <v>2.11753281902352</v>
      </c>
      <c r="AA8" s="35" t="n">
        <f aca="false">Ops_Cost*(1+Cost_Inflation)^24</f>
        <v>2.1704711394991</v>
      </c>
      <c r="AB8" s="35" t="n">
        <f aca="false">Ops_Cost*(1+Cost_Inflation)^25</f>
        <v>2.22473291798658</v>
      </c>
      <c r="AC8" s="35" t="n">
        <f aca="false">Ops_Cost*(1+Cost_Inflation)^26</f>
        <v>2.28035124093625</v>
      </c>
      <c r="AD8" s="35" t="n">
        <f aca="false">Ops_Cost*(1+Cost_Inflation)^27</f>
        <v>2.33736002195965</v>
      </c>
      <c r="AE8" s="35" t="n">
        <f aca="false">Ops_Cost*(1+Cost_Inflation)^28</f>
        <v>2.39579402250864</v>
      </c>
      <c r="AF8" s="35" t="n">
        <f aca="false">Ops_Cost*(1+Cost_Inflation)^29</f>
        <v>2.45568887307136</v>
      </c>
    </row>
    <row r="9" customFormat="false" ht="15" hidden="false" customHeight="false" outlineLevel="0" collapsed="false">
      <c r="A9" s="6"/>
      <c r="B9" s="38" t="s">
        <v>90</v>
      </c>
      <c r="C9" s="35" t="n">
        <f aca="false">Compliance_Cost*(1+Cost_Inflation)^0</f>
        <v>0.5</v>
      </c>
      <c r="D9" s="35" t="n">
        <f aca="false">Compliance_Cost*(1+Cost_Inflation)^1</f>
        <v>0.5125</v>
      </c>
      <c r="E9" s="35" t="n">
        <f aca="false">Compliance_Cost*(1+Cost_Inflation)^2</f>
        <v>0.5253125</v>
      </c>
      <c r="F9" s="35" t="n">
        <f aca="false">Compliance_Cost*(1+Cost_Inflation)^3</f>
        <v>0.5384453125</v>
      </c>
      <c r="G9" s="35" t="n">
        <f aca="false">Compliance_Cost*(1+Cost_Inflation)^4</f>
        <v>0.5519064453125</v>
      </c>
      <c r="H9" s="35" t="n">
        <f aca="false">Compliance_Cost*(1+Cost_Inflation)^5</f>
        <v>0.565704106445312</v>
      </c>
      <c r="I9" s="35" t="n">
        <f aca="false">Compliance_Cost*(1+Cost_Inflation)^6</f>
        <v>0.579846709106445</v>
      </c>
      <c r="J9" s="35" t="n">
        <f aca="false">Compliance_Cost*(1+Cost_Inflation)^7</f>
        <v>0.594342876834106</v>
      </c>
      <c r="K9" s="35" t="n">
        <f aca="false">Compliance_Cost*(1+Cost_Inflation)^8</f>
        <v>0.609201448754959</v>
      </c>
      <c r="L9" s="35" t="n">
        <f aca="false">Compliance_Cost*(1+Cost_Inflation)^9</f>
        <v>0.624431484973833</v>
      </c>
      <c r="M9" s="35" t="n">
        <f aca="false">Compliance_Cost*(1+Cost_Inflation)^10</f>
        <v>0.640042272098178</v>
      </c>
      <c r="N9" s="35" t="n">
        <f aca="false">Compliance_Cost*(1+Cost_Inflation)^11</f>
        <v>0.656043328900633</v>
      </c>
      <c r="O9" s="35" t="n">
        <f aca="false">Compliance_Cost*(1+Cost_Inflation)^12</f>
        <v>0.672444412123149</v>
      </c>
      <c r="P9" s="35" t="n">
        <f aca="false">Compliance_Cost*(1+Cost_Inflation)^13</f>
        <v>0.689255522426227</v>
      </c>
      <c r="Q9" s="35" t="n">
        <f aca="false">Compliance_Cost*(1+Cost_Inflation)^14</f>
        <v>0.706486910486883</v>
      </c>
      <c r="R9" s="35" t="n">
        <f aca="false">Compliance_Cost*(1+Cost_Inflation)^15</f>
        <v>0.724149083249055</v>
      </c>
      <c r="S9" s="35" t="n">
        <f aca="false">Compliance_Cost*(1+Cost_Inflation)^16</f>
        <v>0.742252810330281</v>
      </c>
      <c r="T9" s="35" t="n">
        <f aca="false">Compliance_Cost*(1+Cost_Inflation)^17</f>
        <v>0.760809130588538</v>
      </c>
      <c r="U9" s="35" t="n">
        <f aca="false">Compliance_Cost*(1+Cost_Inflation)^18</f>
        <v>0.779829358853251</v>
      </c>
      <c r="V9" s="35" t="n">
        <f aca="false">Compliance_Cost*(1+Cost_Inflation)^19</f>
        <v>0.799325092824583</v>
      </c>
      <c r="W9" s="35" t="n">
        <f aca="false">Compliance_Cost*(1+Cost_Inflation)^20</f>
        <v>0.819308220145197</v>
      </c>
      <c r="X9" s="35" t="n">
        <f aca="false">Compliance_Cost*(1+Cost_Inflation)^21</f>
        <v>0.839790925648827</v>
      </c>
      <c r="Y9" s="35" t="n">
        <f aca="false">Compliance_Cost*(1+Cost_Inflation)^22</f>
        <v>0.860785698790048</v>
      </c>
      <c r="Z9" s="35" t="n">
        <f aca="false">Compliance_Cost*(1+Cost_Inflation)^23</f>
        <v>0.882305341259799</v>
      </c>
      <c r="AA9" s="35" t="n">
        <f aca="false">Compliance_Cost*(1+Cost_Inflation)^24</f>
        <v>0.904362974791294</v>
      </c>
      <c r="AB9" s="35" t="n">
        <f aca="false">Compliance_Cost*(1+Cost_Inflation)^25</f>
        <v>0.926972049161076</v>
      </c>
      <c r="AC9" s="35" t="n">
        <f aca="false">Compliance_Cost*(1+Cost_Inflation)^26</f>
        <v>0.950146350390103</v>
      </c>
      <c r="AD9" s="35" t="n">
        <f aca="false">Compliance_Cost*(1+Cost_Inflation)^27</f>
        <v>0.973900009149855</v>
      </c>
      <c r="AE9" s="35" t="n">
        <f aca="false">Compliance_Cost*(1+Cost_Inflation)^28</f>
        <v>0.998247509378602</v>
      </c>
      <c r="AF9" s="35" t="n">
        <f aca="false">Compliance_Cost*(1+Cost_Inflation)^29</f>
        <v>1.02320369711307</v>
      </c>
    </row>
    <row r="10" customFormat="false" ht="15" hidden="false" customHeight="false" outlineLevel="0" collapsed="false">
      <c r="A10" s="6"/>
      <c r="B10" s="38" t="s">
        <v>142</v>
      </c>
      <c r="C10" s="35" t="n">
        <f aca="false">Tech_Cost*(1+Cost_Inflation)^0</f>
        <v>0.8</v>
      </c>
      <c r="D10" s="35" t="n">
        <f aca="false">Tech_Cost*(1+Cost_Inflation)^1</f>
        <v>0.82</v>
      </c>
      <c r="E10" s="35" t="n">
        <f aca="false">Tech_Cost*(1+Cost_Inflation)^2</f>
        <v>0.8405</v>
      </c>
      <c r="F10" s="35" t="n">
        <f aca="false">Tech_Cost*(1+Cost_Inflation)^3</f>
        <v>0.8615125</v>
      </c>
      <c r="G10" s="35" t="n">
        <f aca="false">Tech_Cost*(1+Cost_Inflation)^4</f>
        <v>0.8830503125</v>
      </c>
      <c r="H10" s="35" t="n">
        <f aca="false">Tech_Cost*(1+Cost_Inflation)^5</f>
        <v>0.9051265703125</v>
      </c>
      <c r="I10" s="35" t="n">
        <f aca="false">Tech_Cost*(1+Cost_Inflation)^6</f>
        <v>0.927754734570312</v>
      </c>
      <c r="J10" s="35" t="n">
        <f aca="false">Tech_Cost*(1+Cost_Inflation)^7</f>
        <v>0.95094860293457</v>
      </c>
      <c r="K10" s="35" t="n">
        <f aca="false">Tech_Cost*(1+Cost_Inflation)^8</f>
        <v>0.974722318007934</v>
      </c>
      <c r="L10" s="35" t="n">
        <f aca="false">Tech_Cost*(1+Cost_Inflation)^9</f>
        <v>0.999090375958132</v>
      </c>
      <c r="M10" s="35" t="n">
        <f aca="false">Tech_Cost*(1+Cost_Inflation)^10</f>
        <v>1.02406763535709</v>
      </c>
      <c r="N10" s="35" t="n">
        <f aca="false">Tech_Cost*(1+Cost_Inflation)^11</f>
        <v>1.04966932624101</v>
      </c>
      <c r="O10" s="35" t="n">
        <f aca="false">Tech_Cost*(1+Cost_Inflation)^12</f>
        <v>1.07591105939704</v>
      </c>
      <c r="P10" s="35" t="n">
        <f aca="false">Tech_Cost*(1+Cost_Inflation)^13</f>
        <v>1.10280883588196</v>
      </c>
      <c r="Q10" s="35" t="n">
        <f aca="false">Tech_Cost*(1+Cost_Inflation)^14</f>
        <v>1.13037905677901</v>
      </c>
      <c r="R10" s="35" t="n">
        <f aca="false">Tech_Cost*(1+Cost_Inflation)^15</f>
        <v>1.15863853319849</v>
      </c>
      <c r="S10" s="35" t="n">
        <f aca="false">Tech_Cost*(1+Cost_Inflation)^16</f>
        <v>1.18760449652845</v>
      </c>
      <c r="T10" s="35" t="n">
        <f aca="false">Tech_Cost*(1+Cost_Inflation)^17</f>
        <v>1.21729460894166</v>
      </c>
      <c r="U10" s="35" t="n">
        <f aca="false">Tech_Cost*(1+Cost_Inflation)^18</f>
        <v>1.2477269741652</v>
      </c>
      <c r="V10" s="35" t="n">
        <f aca="false">Tech_Cost*(1+Cost_Inflation)^19</f>
        <v>1.27892014851933</v>
      </c>
      <c r="W10" s="35" t="n">
        <f aca="false">Tech_Cost*(1+Cost_Inflation)^20</f>
        <v>1.31089315223232</v>
      </c>
      <c r="X10" s="35" t="n">
        <f aca="false">Tech_Cost*(1+Cost_Inflation)^21</f>
        <v>1.34366548103812</v>
      </c>
      <c r="Y10" s="35" t="n">
        <f aca="false">Tech_Cost*(1+Cost_Inflation)^22</f>
        <v>1.37725711806408</v>
      </c>
      <c r="Z10" s="35" t="n">
        <f aca="false">Tech_Cost*(1+Cost_Inflation)^23</f>
        <v>1.41168854601568</v>
      </c>
      <c r="AA10" s="35" t="n">
        <f aca="false">Tech_Cost*(1+Cost_Inflation)^24</f>
        <v>1.44698075966607</v>
      </c>
      <c r="AB10" s="35" t="n">
        <f aca="false">Tech_Cost*(1+Cost_Inflation)^25</f>
        <v>1.48315527865772</v>
      </c>
      <c r="AC10" s="35" t="n">
        <f aca="false">Tech_Cost*(1+Cost_Inflation)^26</f>
        <v>1.52023416062416</v>
      </c>
      <c r="AD10" s="35" t="n">
        <f aca="false">Tech_Cost*(1+Cost_Inflation)^27</f>
        <v>1.55824001463977</v>
      </c>
      <c r="AE10" s="35" t="n">
        <f aca="false">Tech_Cost*(1+Cost_Inflation)^28</f>
        <v>1.59719601500576</v>
      </c>
      <c r="AF10" s="35" t="n">
        <f aca="false">Tech_Cost*(1+Cost_Inflation)^29</f>
        <v>1.63712591538091</v>
      </c>
    </row>
    <row r="11" customFormat="false" ht="15" hidden="false" customHeight="false" outlineLevel="0" collapsed="false">
      <c r="A11" s="6"/>
      <c r="B11" s="38" t="s">
        <v>94</v>
      </c>
      <c r="C11" s="35" t="n">
        <f aca="false">AUM_Average*Mktg_Bps/10000</f>
        <v>0.033572625</v>
      </c>
      <c r="D11" s="35" t="n">
        <f aca="false">AUM_Average*Mktg_Bps/10000</f>
        <v>0.073556557721875</v>
      </c>
      <c r="E11" s="35" t="n">
        <f aca="false">AUM_Average*Mktg_Bps/10000</f>
        <v>0.119518029206861</v>
      </c>
      <c r="F11" s="35" t="n">
        <f aca="false">AUM_Average*Mktg_Bps/10000</f>
        <v>0.172082536371922</v>
      </c>
      <c r="G11" s="35" t="n">
        <f aca="false">AUM_Average*Mktg_Bps/10000</f>
        <v>0.231927569067574</v>
      </c>
      <c r="H11" s="35" t="n">
        <f aca="false">AUM_Average*Mktg_Bps/10000</f>
        <v>0.299786083485907</v>
      </c>
      <c r="I11" s="35" t="n">
        <f aca="false">AUM_Average*Mktg_Bps/10000</f>
        <v>0.376450156438079</v>
      </c>
      <c r="J11" s="35" t="n">
        <f aca="false">AUM_Average*Mktg_Bps/10000</f>
        <v>0.462774827795418</v>
      </c>
      <c r="K11" s="35" t="n">
        <f aca="false">AUM_Average*Mktg_Bps/10000</f>
        <v>0.559682138750699</v>
      </c>
      <c r="L11" s="35" t="n">
        <f aca="false">AUM_Average*Mktg_Bps/10000</f>
        <v>0.668165373963474</v>
      </c>
      <c r="M11" s="35" t="n">
        <f aca="false">AUM_Average*Mktg_Bps/10000</f>
        <v>0.789293516111353</v>
      </c>
      <c r="N11" s="35" t="n">
        <f aca="false">AUM_Average*Mktg_Bps/10000</f>
        <v>0.924215921883889</v>
      </c>
      <c r="O11" s="35" t="n">
        <f aca="false">AUM_Average*Mktg_Bps/10000</f>
        <v>1.07416722903398</v>
      </c>
      <c r="P11" s="35" t="n">
        <f aca="false">AUM_Average*Mktg_Bps/10000</f>
        <v>1.24047250475059</v>
      </c>
      <c r="Q11" s="35" t="n">
        <f aca="false">AUM_Average*Mktg_Bps/10000</f>
        <v>1.42455264634367</v>
      </c>
      <c r="R11" s="35" t="n">
        <f aca="false">AUM_Average*Mktg_Bps/10000</f>
        <v>1.6279300460459</v>
      </c>
      <c r="S11" s="35" t="n">
        <f aca="false">AUM_Average*Mktg_Bps/10000</f>
        <v>1.85223453264446</v>
      </c>
      <c r="T11" s="35" t="n">
        <f aca="false">AUM_Average*Mktg_Bps/10000</f>
        <v>2.09920960366957</v>
      </c>
      <c r="U11" s="35" t="n">
        <f aca="false">AUM_Average*Mktg_Bps/10000</f>
        <v>2.37071896299384</v>
      </c>
      <c r="V11" s="35" t="n">
        <f aca="false">AUM_Average*Mktg_Bps/10000</f>
        <v>2.66875337994909</v>
      </c>
      <c r="W11" s="35" t="n">
        <f aca="false">AUM_Average*Mktg_Bps/10000</f>
        <v>2.99543788745525</v>
      </c>
      <c r="X11" s="35" t="n">
        <f aca="false">AUM_Average*Mktg_Bps/10000</f>
        <v>3.35303933819168</v>
      </c>
      <c r="Y11" s="35" t="n">
        <f aca="false">AUM_Average*Mktg_Bps/10000</f>
        <v>3.74397433953667</v>
      </c>
      <c r="Z11" s="35" t="n">
        <f aca="false">AUM_Average*Mktg_Bps/10000</f>
        <v>4.17081758986883</v>
      </c>
      <c r="AA11" s="35" t="n">
        <f aca="false">AUM_Average*Mktg_Bps/10000</f>
        <v>4.63631064087855</v>
      </c>
      <c r="AB11" s="35" t="n">
        <f aca="false">AUM_Average*Mktg_Bps/10000</f>
        <v>5.14337111279285</v>
      </c>
      <c r="AC11" s="35" t="n">
        <f aca="false">AUM_Average*Mktg_Bps/10000</f>
        <v>5.69510239188742</v>
      </c>
      <c r="AD11" s="35" t="n">
        <f aca="false">AUM_Average*Mktg_Bps/10000</f>
        <v>6.29480384236189</v>
      </c>
      <c r="AE11" s="35" t="n">
        <f aca="false">AUM_Average*Mktg_Bps/10000</f>
        <v>6.94598156760441</v>
      </c>
      <c r="AF11" s="35" t="n">
        <f aca="false">AUM_Average*Mktg_Bps/10000</f>
        <v>7.65235975908686</v>
      </c>
    </row>
    <row r="12" customFormat="false" ht="15" hidden="false" customHeight="false" outlineLevel="0" collapsed="false">
      <c r="A12" s="6"/>
      <c r="B12" s="38" t="s">
        <v>143</v>
      </c>
      <c r="C12" s="35" t="n">
        <f aca="false">AUM_Average*Admin_Cost_Bps/10000</f>
        <v>0.02238175</v>
      </c>
      <c r="D12" s="35" t="n">
        <f aca="false">AUM_Average*Admin_Cost_Bps/10000</f>
        <v>0.0490377051479167</v>
      </c>
      <c r="E12" s="35" t="n">
        <f aca="false">AUM_Average*Admin_Cost_Bps/10000</f>
        <v>0.0796786861379074</v>
      </c>
      <c r="F12" s="35" t="n">
        <f aca="false">AUM_Average*Admin_Cost_Bps/10000</f>
        <v>0.114721690914614</v>
      </c>
      <c r="G12" s="35" t="n">
        <f aca="false">AUM_Average*Admin_Cost_Bps/10000</f>
        <v>0.154618379378383</v>
      </c>
      <c r="H12" s="35" t="n">
        <f aca="false">AUM_Average*Admin_Cost_Bps/10000</f>
        <v>0.199857388990605</v>
      </c>
      <c r="I12" s="35" t="n">
        <f aca="false">AUM_Average*Admin_Cost_Bps/10000</f>
        <v>0.250966770958719</v>
      </c>
      <c r="J12" s="35" t="n">
        <f aca="false">AUM_Average*Admin_Cost_Bps/10000</f>
        <v>0.308516551863612</v>
      </c>
      <c r="K12" s="35" t="n">
        <f aca="false">AUM_Average*Admin_Cost_Bps/10000</f>
        <v>0.373121425833799</v>
      </c>
      <c r="L12" s="35" t="n">
        <f aca="false">AUM_Average*Admin_Cost_Bps/10000</f>
        <v>0.445443582642316</v>
      </c>
      <c r="M12" s="35" t="n">
        <f aca="false">AUM_Average*Admin_Cost_Bps/10000</f>
        <v>0.526195677407569</v>
      </c>
      <c r="N12" s="35" t="n">
        <f aca="false">AUM_Average*Admin_Cost_Bps/10000</f>
        <v>0.616143947922593</v>
      </c>
      <c r="O12" s="35" t="n">
        <f aca="false">AUM_Average*Admin_Cost_Bps/10000</f>
        <v>0.716111486022655</v>
      </c>
      <c r="P12" s="35" t="n">
        <f aca="false">AUM_Average*Admin_Cost_Bps/10000</f>
        <v>0.826981669833727</v>
      </c>
      <c r="Q12" s="35" t="n">
        <f aca="false">AUM_Average*Admin_Cost_Bps/10000</f>
        <v>0.949701764229116</v>
      </c>
      <c r="R12" s="35" t="n">
        <f aca="false">AUM_Average*Admin_Cost_Bps/10000</f>
        <v>1.08528669736393</v>
      </c>
      <c r="S12" s="35" t="n">
        <f aca="false">AUM_Average*Admin_Cost_Bps/10000</f>
        <v>1.23482302176297</v>
      </c>
      <c r="T12" s="35" t="n">
        <f aca="false">AUM_Average*Admin_Cost_Bps/10000</f>
        <v>1.39947306911305</v>
      </c>
      <c r="U12" s="35" t="n">
        <f aca="false">AUM_Average*Admin_Cost_Bps/10000</f>
        <v>1.58047930866256</v>
      </c>
      <c r="V12" s="35" t="n">
        <f aca="false">AUM_Average*Admin_Cost_Bps/10000</f>
        <v>1.77916891996606</v>
      </c>
      <c r="W12" s="35" t="n">
        <f aca="false">AUM_Average*Admin_Cost_Bps/10000</f>
        <v>1.99695859163683</v>
      </c>
      <c r="X12" s="35" t="n">
        <f aca="false">AUM_Average*Admin_Cost_Bps/10000</f>
        <v>2.23535955879445</v>
      </c>
      <c r="Y12" s="35" t="n">
        <f aca="false">AUM_Average*Admin_Cost_Bps/10000</f>
        <v>2.49598289302445</v>
      </c>
      <c r="Z12" s="35" t="n">
        <f aca="false">AUM_Average*Admin_Cost_Bps/10000</f>
        <v>2.78054505991255</v>
      </c>
      <c r="AA12" s="35" t="n">
        <f aca="false">AUM_Average*Admin_Cost_Bps/10000</f>
        <v>3.0908737605857</v>
      </c>
      <c r="AB12" s="35" t="n">
        <f aca="false">AUM_Average*Admin_Cost_Bps/10000</f>
        <v>3.42891407519523</v>
      </c>
      <c r="AC12" s="35" t="n">
        <f aca="false">AUM_Average*Admin_Cost_Bps/10000</f>
        <v>3.79673492792495</v>
      </c>
      <c r="AD12" s="35" t="n">
        <f aca="false">AUM_Average*Admin_Cost_Bps/10000</f>
        <v>4.19653589490793</v>
      </c>
      <c r="AE12" s="35" t="n">
        <f aca="false">AUM_Average*Admin_Cost_Bps/10000</f>
        <v>4.63065437840294</v>
      </c>
      <c r="AF12" s="35" t="n">
        <f aca="false">AUM_Average*Admin_Cost_Bps/10000</f>
        <v>5.10157317272457</v>
      </c>
    </row>
    <row r="13" customFormat="false" ht="15" hidden="false" customHeight="false" outlineLevel="0" collapsed="false">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row>
    <row r="14" customFormat="false" ht="15" hidden="false" customHeight="false" outlineLevel="0" collapsed="false">
      <c r="A14" s="6"/>
      <c r="B14" s="36" t="s">
        <v>144</v>
      </c>
      <c r="C14" s="37" t="n">
        <f aca="false">C7+C8+C9+C10+C11+C12</f>
        <v>4.355954375</v>
      </c>
      <c r="D14" s="37" t="n">
        <f aca="false">D7+D8+D9+D10+D11+D12</f>
        <v>4.53009426286979</v>
      </c>
      <c r="E14" s="37" t="n">
        <f aca="false">E7+E8+E9+E10+E11+E12</f>
        <v>4.71688421534477</v>
      </c>
      <c r="F14" s="37" t="n">
        <f aca="false">F7+F8+F9+F10+F11+F12</f>
        <v>4.91743391478653</v>
      </c>
      <c r="G14" s="37" t="n">
        <f aca="false">G7+G8+G9+G10+G11+G12</f>
        <v>5.13294137813346</v>
      </c>
      <c r="H14" s="37" t="n">
        <f aca="false">H7+H8+H9+H10+H11+H12</f>
        <v>5.3646987879062</v>
      </c>
      <c r="I14" s="37" t="n">
        <f aca="false">I7+I8+I9+I10+I11+I12</f>
        <v>5.61409862571223</v>
      </c>
      <c r="J14" s="37" t="n">
        <f aca="false">J7+J8+J9+J10+J11+J12</f>
        <v>5.88264012043234</v>
      </c>
      <c r="K14" s="37" t="n">
        <f aca="false">K7+K8+K9+K10+K11+K12</f>
        <v>6.17193602387714</v>
      </c>
      <c r="L14" s="37" t="n">
        <f aca="false">L7+L8+L9+L10+L11+L12</f>
        <v>6.48371972738075</v>
      </c>
      <c r="M14" s="37" t="n">
        <f aca="false">M7+M8+M9+M10+M11+M12</f>
        <v>6.81985273356326</v>
      </c>
      <c r="N14" s="37" t="n">
        <f aca="false">N7+N8+N9+N10+N11+N12</f>
        <v>7.18233249835192</v>
      </c>
      <c r="O14" s="37" t="n">
        <f aca="false">O7+O8+O9+O10+O11+O12</f>
        <v>7.57330065931572</v>
      </c>
      <c r="P14" s="37" t="n">
        <f aca="false">P7+P8+P9+P10+P11+P12</f>
        <v>7.99505166744987</v>
      </c>
      <c r="Q14" s="37" t="n">
        <f aca="false">Q7+Q8+Q9+Q10+Q11+Q12</f>
        <v>8.45004184075998</v>
      </c>
      <c r="R14" s="37" t="n">
        <f aca="false">R7+R8+R9+R10+R11+R12</f>
        <v>8.94089885935171</v>
      </c>
      <c r="S14" s="37" t="n">
        <f aca="false">S7+S8+S9+S10+S11+S12</f>
        <v>9.47043172324785</v>
      </c>
      <c r="T14" s="37" t="n">
        <f aca="false">T7+T8+T9+T10+T11+T12</f>
        <v>10.041641195844</v>
      </c>
      <c r="U14" s="37" t="n">
        <f aca="false">U7+U8+U9+U10+U11+U12</f>
        <v>10.6577307577944</v>
      </c>
      <c r="V14" s="37" t="n">
        <f aca="false">V7+V8+V9+V10+V11+V12</f>
        <v>11.3221180982066</v>
      </c>
      <c r="W14" s="37" t="n">
        <f aca="false">W7+W8+W9+W10+W11+W12</f>
        <v>12.0384471723408</v>
      </c>
      <c r="X14" s="37" t="n">
        <f aca="false">X7+X8+X9+X10+X11+X12</f>
        <v>12.810600857566</v>
      </c>
      <c r="Y14" s="37" t="n">
        <f aca="false">Y7+Y8+Y9+Y10+Y11+Y12</f>
        <v>13.6427142421555</v>
      </c>
      <c r="Z14" s="37" t="n">
        <f aca="false">Z7+Z8+Z9+Z10+Z11+Z12</f>
        <v>14.5391885846156</v>
      </c>
      <c r="AA14" s="37" t="n">
        <f aca="false">AA7+AA8+AA9+AA10+AA11+AA12</f>
        <v>15.5047059846694</v>
      </c>
      <c r="AB14" s="37" t="n">
        <f aca="false">AB7+AB8+AB9+AB10+AB11+AB12</f>
        <v>16.5442448107733</v>
      </c>
      <c r="AC14" s="37" t="n">
        <f aca="false">AC7+AC8+AC9+AC10+AC11+AC12</f>
        <v>17.6630959331673</v>
      </c>
      <c r="AD14" s="37" t="n">
        <f aca="false">AD7+AD8+AD9+AD10+AD11+AD12</f>
        <v>18.8668798159586</v>
      </c>
      <c r="AE14" s="37" t="n">
        <f aca="false">AE7+AE8+AE9+AE10+AE11+AE12</f>
        <v>20.1615645266633</v>
      </c>
      <c r="AF14" s="37" t="n">
        <f aca="false">AF7+AF8+AF9+AF10+AF11+AF12</f>
        <v>21.5534847269838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F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32" min="3" style="0" width="12"/>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6"/>
      <c r="AF1" s="6"/>
    </row>
    <row r="2" customFormat="false" ht="21.75" hidden="false" customHeight="true" outlineLevel="0" collapsed="false">
      <c r="A2" s="1"/>
      <c r="B2" s="21" t="s">
        <v>145</v>
      </c>
      <c r="C2" s="1"/>
      <c r="D2" s="1"/>
      <c r="E2" s="1"/>
      <c r="F2" s="1"/>
      <c r="G2" s="1"/>
      <c r="H2" s="1"/>
      <c r="I2" s="1"/>
      <c r="J2" s="1"/>
      <c r="K2" s="1"/>
      <c r="L2" s="1"/>
      <c r="M2" s="1"/>
      <c r="N2" s="1"/>
      <c r="O2" s="1"/>
      <c r="P2" s="1"/>
      <c r="Q2" s="1"/>
      <c r="R2" s="1"/>
      <c r="S2" s="1"/>
      <c r="T2" s="1"/>
      <c r="U2" s="1"/>
      <c r="V2" s="1"/>
      <c r="W2" s="1"/>
      <c r="X2" s="1"/>
      <c r="Y2" s="1"/>
      <c r="Z2" s="1"/>
      <c r="AA2" s="1"/>
      <c r="AB2" s="1"/>
      <c r="AC2" s="1"/>
      <c r="AD2" s="1"/>
      <c r="AE2" s="6"/>
      <c r="AF2" s="6"/>
    </row>
    <row r="3" customFormat="false" ht="15" hidden="false" customHeight="false" outlineLevel="0" collapsed="false">
      <c r="A3" s="1"/>
      <c r="B3" s="22" t="s">
        <v>18</v>
      </c>
      <c r="C3" s="1"/>
      <c r="D3" s="1"/>
      <c r="E3" s="1"/>
      <c r="F3" s="1"/>
      <c r="G3" s="1"/>
      <c r="H3" s="1"/>
      <c r="I3" s="1"/>
      <c r="J3" s="1"/>
      <c r="K3" s="1"/>
      <c r="L3" s="1"/>
      <c r="M3" s="1"/>
      <c r="N3" s="1"/>
      <c r="O3" s="1"/>
      <c r="P3" s="1"/>
      <c r="Q3" s="1"/>
      <c r="R3" s="1"/>
      <c r="S3" s="1"/>
      <c r="T3" s="1"/>
      <c r="U3" s="1"/>
      <c r="V3" s="1"/>
      <c r="W3" s="1"/>
      <c r="X3" s="1"/>
      <c r="Y3" s="1"/>
      <c r="Z3" s="1"/>
      <c r="AA3" s="1"/>
      <c r="AB3" s="1"/>
      <c r="AC3" s="1"/>
      <c r="AD3" s="1"/>
      <c r="AE3" s="6"/>
      <c r="AF3" s="6"/>
    </row>
    <row r="4" customFormat="false" ht="15" hidden="false" customHeight="false" outlineLevel="0" collapsed="false">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row>
    <row r="5" customFormat="false" ht="15" hidden="false" customHeight="false" outlineLevel="0" collapsed="false">
      <c r="A5" s="6"/>
      <c r="B5" s="29" t="s">
        <v>36</v>
      </c>
      <c r="C5" s="30" t="n">
        <f aca="false">Launch_Year+0</f>
        <v>2025</v>
      </c>
      <c r="D5" s="30" t="n">
        <f aca="false">Launch_Year+1</f>
        <v>2026</v>
      </c>
      <c r="E5" s="30" t="n">
        <f aca="false">Launch_Year+2</f>
        <v>2027</v>
      </c>
      <c r="F5" s="30" t="n">
        <f aca="false">Launch_Year+3</f>
        <v>2028</v>
      </c>
      <c r="G5" s="30" t="n">
        <f aca="false">Launch_Year+4</f>
        <v>2029</v>
      </c>
      <c r="H5" s="30" t="n">
        <f aca="false">Launch_Year+5</f>
        <v>2030</v>
      </c>
      <c r="I5" s="30" t="n">
        <f aca="false">Launch_Year+6</f>
        <v>2031</v>
      </c>
      <c r="J5" s="30" t="n">
        <f aca="false">Launch_Year+7</f>
        <v>2032</v>
      </c>
      <c r="K5" s="30" t="n">
        <f aca="false">Launch_Year+8</f>
        <v>2033</v>
      </c>
      <c r="L5" s="30" t="n">
        <f aca="false">Launch_Year+9</f>
        <v>2034</v>
      </c>
      <c r="M5" s="30" t="n">
        <f aca="false">Launch_Year+10</f>
        <v>2035</v>
      </c>
      <c r="N5" s="30" t="n">
        <f aca="false">Launch_Year+11</f>
        <v>2036</v>
      </c>
      <c r="O5" s="30" t="n">
        <f aca="false">Launch_Year+12</f>
        <v>2037</v>
      </c>
      <c r="P5" s="30" t="n">
        <f aca="false">Launch_Year+13</f>
        <v>2038</v>
      </c>
      <c r="Q5" s="30" t="n">
        <f aca="false">Launch_Year+14</f>
        <v>2039</v>
      </c>
      <c r="R5" s="30" t="n">
        <f aca="false">Launch_Year+15</f>
        <v>2040</v>
      </c>
      <c r="S5" s="30" t="n">
        <f aca="false">Launch_Year+16</f>
        <v>2041</v>
      </c>
      <c r="T5" s="30" t="n">
        <f aca="false">Launch_Year+17</f>
        <v>2042</v>
      </c>
      <c r="U5" s="30" t="n">
        <f aca="false">Launch_Year+18</f>
        <v>2043</v>
      </c>
      <c r="V5" s="30" t="n">
        <f aca="false">Launch_Year+19</f>
        <v>2044</v>
      </c>
      <c r="W5" s="30" t="n">
        <f aca="false">Launch_Year+20</f>
        <v>2045</v>
      </c>
      <c r="X5" s="30" t="n">
        <f aca="false">Launch_Year+21</f>
        <v>2046</v>
      </c>
      <c r="Y5" s="30" t="n">
        <f aca="false">Launch_Year+22</f>
        <v>2047</v>
      </c>
      <c r="Z5" s="30" t="n">
        <f aca="false">Launch_Year+23</f>
        <v>2048</v>
      </c>
      <c r="AA5" s="30" t="n">
        <f aca="false">Launch_Year+24</f>
        <v>2049</v>
      </c>
      <c r="AB5" s="30" t="n">
        <f aca="false">Launch_Year+25</f>
        <v>2050</v>
      </c>
      <c r="AC5" s="30" t="n">
        <f aca="false">Launch_Year+26</f>
        <v>2051</v>
      </c>
      <c r="AD5" s="30" t="n">
        <f aca="false">Launch_Year+27</f>
        <v>2052</v>
      </c>
      <c r="AE5" s="30" t="n">
        <f aca="false">Launch_Year+28</f>
        <v>2053</v>
      </c>
      <c r="AF5" s="30" t="n">
        <f aca="false">Launch_Year+29</f>
        <v>2054</v>
      </c>
    </row>
    <row r="6" customFormat="false" ht="15" hidden="false" customHeight="false" outlineLevel="0" collapsed="false">
      <c r="A6" s="6"/>
      <c r="B6" s="23" t="s">
        <v>146</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row>
    <row r="7" customFormat="false" ht="15" hidden="false" customHeight="false" outlineLevel="0" collapsed="false">
      <c r="A7" s="6"/>
      <c r="B7" s="10" t="s">
        <v>147</v>
      </c>
      <c r="C7" s="35" t="n">
        <f aca="false">Rev_Total</f>
        <v>0.268581</v>
      </c>
      <c r="D7" s="35" t="n">
        <f aca="false">Rev_Total</f>
        <v>0.588452461775</v>
      </c>
      <c r="E7" s="35" t="n">
        <f aca="false">Rev_Total</f>
        <v>0.956144233654888</v>
      </c>
      <c r="F7" s="35" t="n">
        <f aca="false">Rev_Total</f>
        <v>1.37666029097537</v>
      </c>
      <c r="G7" s="35" t="n">
        <f aca="false">Rev_Total</f>
        <v>1.85542055254059</v>
      </c>
      <c r="H7" s="35" t="n">
        <f aca="false">Rev_Total</f>
        <v>2.39828866788726</v>
      </c>
      <c r="I7" s="35" t="n">
        <f aca="false">Rev_Total</f>
        <v>3.01160125150463</v>
      </c>
      <c r="J7" s="35" t="n">
        <f aca="false">Rev_Total</f>
        <v>3.70219862236334</v>
      </c>
      <c r="K7" s="35" t="n">
        <f aca="false">Rev_Total</f>
        <v>4.47745711000559</v>
      </c>
      <c r="L7" s="35" t="n">
        <f aca="false">Rev_Total</f>
        <v>5.34532299170779</v>
      </c>
      <c r="M7" s="35" t="n">
        <f aca="false">Rev_Total</f>
        <v>6.31434812889083</v>
      </c>
      <c r="N7" s="35" t="n">
        <f aca="false">Rev_Total</f>
        <v>7.39372737507111</v>
      </c>
      <c r="O7" s="35" t="n">
        <f aca="false">Rev_Total</f>
        <v>8.59333783227186</v>
      </c>
      <c r="P7" s="35" t="n">
        <f aca="false">Rev_Total</f>
        <v>9.92378003800473</v>
      </c>
      <c r="Q7" s="35" t="n">
        <f aca="false">Rev_Total</f>
        <v>11.3964211707494</v>
      </c>
      <c r="R7" s="35" t="n">
        <f aca="false">Rev_Total</f>
        <v>13.0234403683672</v>
      </c>
      <c r="S7" s="35" t="n">
        <f aca="false">Rev_Total</f>
        <v>14.8178762611557</v>
      </c>
      <c r="T7" s="35" t="n">
        <f aca="false">Rev_Total</f>
        <v>16.7936768293566</v>
      </c>
      <c r="U7" s="35" t="n">
        <f aca="false">Rev_Total</f>
        <v>18.9657517039507</v>
      </c>
      <c r="V7" s="35" t="n">
        <f aca="false">Rev_Total</f>
        <v>21.3500270395928</v>
      </c>
      <c r="W7" s="35" t="n">
        <f aca="false">Rev_Total</f>
        <v>23.963503099642</v>
      </c>
      <c r="X7" s="35" t="n">
        <f aca="false">Rev_Total</f>
        <v>26.8243147055334</v>
      </c>
      <c r="Y7" s="35" t="n">
        <f aca="false">Rev_Total</f>
        <v>29.9517947162934</v>
      </c>
      <c r="Z7" s="35" t="n">
        <f aca="false">Rev_Total</f>
        <v>33.3665407189506</v>
      </c>
      <c r="AA7" s="35" t="n">
        <f aca="false">Rev_Total</f>
        <v>37.0904851270284</v>
      </c>
      <c r="AB7" s="35" t="n">
        <f aca="false">Rev_Total</f>
        <v>41.1469689023428</v>
      </c>
      <c r="AC7" s="35" t="n">
        <f aca="false">Rev_Total</f>
        <v>45.5608191350994</v>
      </c>
      <c r="AD7" s="35" t="n">
        <f aca="false">Rev_Total</f>
        <v>50.3584307388951</v>
      </c>
      <c r="AE7" s="35" t="n">
        <f aca="false">Rev_Total</f>
        <v>55.5678525408353</v>
      </c>
      <c r="AF7" s="35" t="n">
        <f aca="false">Rev_Total</f>
        <v>61.2188780726949</v>
      </c>
    </row>
    <row r="8" customFormat="false" ht="15" hidden="false" customHeight="false" outlineLevel="0" collapsed="false">
      <c r="A8" s="6"/>
      <c r="B8" s="10" t="s">
        <v>148</v>
      </c>
      <c r="C8" s="35" t="n">
        <f aca="false">-OC_Total</f>
        <v>-4.355954375</v>
      </c>
      <c r="D8" s="35" t="n">
        <f aca="false">-OC_Total</f>
        <v>-4.53009426286979</v>
      </c>
      <c r="E8" s="35" t="n">
        <f aca="false">-OC_Total</f>
        <v>-4.71688421534477</v>
      </c>
      <c r="F8" s="35" t="n">
        <f aca="false">-OC_Total</f>
        <v>-4.91743391478653</v>
      </c>
      <c r="G8" s="35" t="n">
        <f aca="false">-OC_Total</f>
        <v>-5.13294137813346</v>
      </c>
      <c r="H8" s="35" t="n">
        <f aca="false">-OC_Total</f>
        <v>-5.3646987879062</v>
      </c>
      <c r="I8" s="35" t="n">
        <f aca="false">-OC_Total</f>
        <v>-5.61409862571223</v>
      </c>
      <c r="J8" s="35" t="n">
        <f aca="false">-OC_Total</f>
        <v>-5.88264012043234</v>
      </c>
      <c r="K8" s="35" t="n">
        <f aca="false">-OC_Total</f>
        <v>-6.17193602387714</v>
      </c>
      <c r="L8" s="35" t="n">
        <f aca="false">-OC_Total</f>
        <v>-6.48371972738075</v>
      </c>
      <c r="M8" s="35" t="n">
        <f aca="false">-OC_Total</f>
        <v>-6.81985273356326</v>
      </c>
      <c r="N8" s="35" t="n">
        <f aca="false">-OC_Total</f>
        <v>-7.18233249835192</v>
      </c>
      <c r="O8" s="35" t="n">
        <f aca="false">-OC_Total</f>
        <v>-7.57330065931572</v>
      </c>
      <c r="P8" s="35" t="n">
        <f aca="false">-OC_Total</f>
        <v>-7.99505166744987</v>
      </c>
      <c r="Q8" s="35" t="n">
        <f aca="false">-OC_Total</f>
        <v>-8.45004184075998</v>
      </c>
      <c r="R8" s="35" t="n">
        <f aca="false">-OC_Total</f>
        <v>-8.94089885935171</v>
      </c>
      <c r="S8" s="35" t="n">
        <f aca="false">-OC_Total</f>
        <v>-9.47043172324785</v>
      </c>
      <c r="T8" s="35" t="n">
        <f aca="false">-OC_Total</f>
        <v>-10.041641195844</v>
      </c>
      <c r="U8" s="35" t="n">
        <f aca="false">-OC_Total</f>
        <v>-10.6577307577944</v>
      </c>
      <c r="V8" s="35" t="n">
        <f aca="false">-OC_Total</f>
        <v>-11.3221180982066</v>
      </c>
      <c r="W8" s="35" t="n">
        <f aca="false">-OC_Total</f>
        <v>-12.0384471723408</v>
      </c>
      <c r="X8" s="35" t="n">
        <f aca="false">-OC_Total</f>
        <v>-12.810600857566</v>
      </c>
      <c r="Y8" s="35" t="n">
        <f aca="false">-OC_Total</f>
        <v>-13.6427142421555</v>
      </c>
      <c r="Z8" s="35" t="n">
        <f aca="false">-OC_Total</f>
        <v>-14.5391885846156</v>
      </c>
      <c r="AA8" s="35" t="n">
        <f aca="false">-OC_Total</f>
        <v>-15.5047059846694</v>
      </c>
      <c r="AB8" s="35" t="n">
        <f aca="false">-OC_Total</f>
        <v>-16.5442448107733</v>
      </c>
      <c r="AC8" s="35" t="n">
        <f aca="false">-OC_Total</f>
        <v>-17.6630959331673</v>
      </c>
      <c r="AD8" s="35" t="n">
        <f aca="false">-OC_Total</f>
        <v>-18.8668798159586</v>
      </c>
      <c r="AE8" s="35" t="n">
        <f aca="false">-OC_Total</f>
        <v>-20.1615645266633</v>
      </c>
      <c r="AF8" s="35" t="n">
        <f aca="false">-OC_Total</f>
        <v>-21.5534847269838</v>
      </c>
    </row>
    <row r="9" customFormat="false" ht="15" hidden="false" customHeight="false" outlineLevel="0" collapsed="false">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row>
    <row r="10" customFormat="false" ht="15" hidden="false" customHeight="false" outlineLevel="0" collapsed="false">
      <c r="A10" s="6"/>
      <c r="B10" s="39" t="s">
        <v>149</v>
      </c>
      <c r="C10" s="40" t="n">
        <f aca="false">C7+C8</f>
        <v>-4.087373375</v>
      </c>
      <c r="D10" s="40" t="n">
        <f aca="false">D7+D8</f>
        <v>-3.94164180109479</v>
      </c>
      <c r="E10" s="40" t="n">
        <f aca="false">E7+E8</f>
        <v>-3.76073998168988</v>
      </c>
      <c r="F10" s="40" t="n">
        <f aca="false">F7+F8</f>
        <v>-3.54077362381116</v>
      </c>
      <c r="G10" s="40" t="n">
        <f aca="false">G7+G8</f>
        <v>-3.27752082559286</v>
      </c>
      <c r="H10" s="40" t="n">
        <f aca="false">H7+H8</f>
        <v>-2.96641012001894</v>
      </c>
      <c r="I10" s="40" t="n">
        <f aca="false">I7+I8</f>
        <v>-2.6024973742076</v>
      </c>
      <c r="J10" s="40" t="n">
        <f aca="false">J7+J8</f>
        <v>-2.180441498069</v>
      </c>
      <c r="K10" s="40" t="n">
        <f aca="false">K7+K8</f>
        <v>-1.69447891387155</v>
      </c>
      <c r="L10" s="40" t="n">
        <f aca="false">L7+L8</f>
        <v>-1.13839673567296</v>
      </c>
      <c r="M10" s="40" t="n">
        <f aca="false">M7+M8</f>
        <v>-0.505504604672429</v>
      </c>
      <c r="N10" s="40" t="n">
        <f aca="false">N7+N8</f>
        <v>0.211394876719189</v>
      </c>
      <c r="O10" s="40" t="n">
        <f aca="false">O7+O8</f>
        <v>1.02003717295614</v>
      </c>
      <c r="P10" s="40" t="n">
        <f aca="false">P7+P8</f>
        <v>1.92872837055485</v>
      </c>
      <c r="Q10" s="40" t="n">
        <f aca="false">Q7+Q8</f>
        <v>2.94637932998941</v>
      </c>
      <c r="R10" s="40" t="n">
        <f aca="false">R7+R8</f>
        <v>4.0825415090155</v>
      </c>
      <c r="S10" s="40" t="n">
        <f aca="false">S7+S8</f>
        <v>5.34744453790784</v>
      </c>
      <c r="T10" s="40" t="n">
        <f aca="false">T7+T8</f>
        <v>6.75203563351251</v>
      </c>
      <c r="U10" s="40" t="n">
        <f aca="false">U7+U8</f>
        <v>8.30802094615637</v>
      </c>
      <c r="V10" s="40" t="n">
        <f aca="false">V7+V8</f>
        <v>10.0279089413862</v>
      </c>
      <c r="W10" s="40" t="n">
        <f aca="false">W7+W8</f>
        <v>11.9250559273012</v>
      </c>
      <c r="X10" s="40" t="n">
        <f aca="false">X7+X8</f>
        <v>14.0137138479674</v>
      </c>
      <c r="Y10" s="40" t="n">
        <f aca="false">Y7+Y8</f>
        <v>16.3090804741378</v>
      </c>
      <c r="Z10" s="40" t="n">
        <f aca="false">Z7+Z8</f>
        <v>18.827352134335</v>
      </c>
      <c r="AA10" s="40" t="n">
        <f aca="false">AA7+AA8</f>
        <v>21.585779142359</v>
      </c>
      <c r="AB10" s="40" t="n">
        <f aca="false">AB7+AB8</f>
        <v>24.6027240915695</v>
      </c>
      <c r="AC10" s="40" t="n">
        <f aca="false">AC7+AC8</f>
        <v>27.8977232019321</v>
      </c>
      <c r="AD10" s="40" t="n">
        <f aca="false">AD7+AD8</f>
        <v>31.4915509229366</v>
      </c>
      <c r="AE10" s="40" t="n">
        <f aca="false">AE7+AE8</f>
        <v>35.406288014172</v>
      </c>
      <c r="AF10" s="40" t="n">
        <f aca="false">AF7+AF8</f>
        <v>39.6653933457111</v>
      </c>
    </row>
    <row r="11" customFormat="false" ht="15" hidden="false" customHeight="false" outlineLevel="0" collapsed="false">
      <c r="A11" s="6"/>
      <c r="B11" s="38" t="s">
        <v>109</v>
      </c>
      <c r="C11" s="35" t="n">
        <f aca="false">-Depr_Amount</f>
        <v>-0.2</v>
      </c>
      <c r="D11" s="35" t="n">
        <f aca="false">-Depr_Amount</f>
        <v>-0.2</v>
      </c>
      <c r="E11" s="35" t="n">
        <f aca="false">-Depr_Amount</f>
        <v>-0.2</v>
      </c>
      <c r="F11" s="35" t="n">
        <f aca="false">-Depr_Amount</f>
        <v>-0.2</v>
      </c>
      <c r="G11" s="35" t="n">
        <f aca="false">-Depr_Amount</f>
        <v>-0.2</v>
      </c>
      <c r="H11" s="35" t="n">
        <f aca="false">-Depr_Amount</f>
        <v>-0.2</v>
      </c>
      <c r="I11" s="35" t="n">
        <f aca="false">-Depr_Amount</f>
        <v>-0.2</v>
      </c>
      <c r="J11" s="35" t="n">
        <f aca="false">-Depr_Amount</f>
        <v>-0.2</v>
      </c>
      <c r="K11" s="35" t="n">
        <f aca="false">-Depr_Amount</f>
        <v>-0.2</v>
      </c>
      <c r="L11" s="35" t="n">
        <f aca="false">-Depr_Amount</f>
        <v>-0.2</v>
      </c>
      <c r="M11" s="35" t="n">
        <f aca="false">-Depr_Amount</f>
        <v>-0.2</v>
      </c>
      <c r="N11" s="35" t="n">
        <f aca="false">-Depr_Amount</f>
        <v>-0.2</v>
      </c>
      <c r="O11" s="35" t="n">
        <f aca="false">-Depr_Amount</f>
        <v>-0.2</v>
      </c>
      <c r="P11" s="35" t="n">
        <f aca="false">-Depr_Amount</f>
        <v>-0.2</v>
      </c>
      <c r="Q11" s="35" t="n">
        <f aca="false">-Depr_Amount</f>
        <v>-0.2</v>
      </c>
      <c r="R11" s="35" t="n">
        <f aca="false">-Depr_Amount</f>
        <v>-0.2</v>
      </c>
      <c r="S11" s="35" t="n">
        <f aca="false">-Depr_Amount</f>
        <v>-0.2</v>
      </c>
      <c r="T11" s="35" t="n">
        <f aca="false">-Depr_Amount</f>
        <v>-0.2</v>
      </c>
      <c r="U11" s="35" t="n">
        <f aca="false">-Depr_Amount</f>
        <v>-0.2</v>
      </c>
      <c r="V11" s="35" t="n">
        <f aca="false">-Depr_Amount</f>
        <v>-0.2</v>
      </c>
      <c r="W11" s="35" t="n">
        <f aca="false">-Depr_Amount</f>
        <v>-0.2</v>
      </c>
      <c r="X11" s="35" t="n">
        <f aca="false">-Depr_Amount</f>
        <v>-0.2</v>
      </c>
      <c r="Y11" s="35" t="n">
        <f aca="false">-Depr_Amount</f>
        <v>-0.2</v>
      </c>
      <c r="Z11" s="35" t="n">
        <f aca="false">-Depr_Amount</f>
        <v>-0.2</v>
      </c>
      <c r="AA11" s="35" t="n">
        <f aca="false">-Depr_Amount</f>
        <v>-0.2</v>
      </c>
      <c r="AB11" s="35" t="n">
        <f aca="false">-Depr_Amount</f>
        <v>-0.2</v>
      </c>
      <c r="AC11" s="35" t="n">
        <f aca="false">-Depr_Amount</f>
        <v>-0.2</v>
      </c>
      <c r="AD11" s="35" t="n">
        <f aca="false">-Depr_Amount</f>
        <v>-0.2</v>
      </c>
      <c r="AE11" s="35" t="n">
        <f aca="false">-Depr_Amount</f>
        <v>-0.2</v>
      </c>
      <c r="AF11" s="35" t="n">
        <f aca="false">-Depr_Amount</f>
        <v>-0.2</v>
      </c>
    </row>
    <row r="12" customFormat="false" ht="15" hidden="false" customHeight="false" outlineLevel="0" collapsed="false">
      <c r="A12" s="6"/>
      <c r="B12" s="39" t="s">
        <v>150</v>
      </c>
      <c r="C12" s="40" t="n">
        <f aca="false">C10+C11</f>
        <v>-4.287373375</v>
      </c>
      <c r="D12" s="40" t="n">
        <f aca="false">D10+D11</f>
        <v>-4.14164180109479</v>
      </c>
      <c r="E12" s="40" t="n">
        <f aca="false">E10+E11</f>
        <v>-3.96073998168988</v>
      </c>
      <c r="F12" s="40" t="n">
        <f aca="false">F10+F11</f>
        <v>-3.74077362381116</v>
      </c>
      <c r="G12" s="40" t="n">
        <f aca="false">G10+G11</f>
        <v>-3.47752082559286</v>
      </c>
      <c r="H12" s="40" t="n">
        <f aca="false">H10+H11</f>
        <v>-3.16641012001894</v>
      </c>
      <c r="I12" s="40" t="n">
        <f aca="false">I10+I11</f>
        <v>-2.8024973742076</v>
      </c>
      <c r="J12" s="40" t="n">
        <f aca="false">J10+J11</f>
        <v>-2.380441498069</v>
      </c>
      <c r="K12" s="40" t="n">
        <f aca="false">K10+K11</f>
        <v>-1.89447891387155</v>
      </c>
      <c r="L12" s="40" t="n">
        <f aca="false">L10+L11</f>
        <v>-1.33839673567296</v>
      </c>
      <c r="M12" s="40" t="n">
        <f aca="false">M10+M11</f>
        <v>-0.705504604672429</v>
      </c>
      <c r="N12" s="40" t="n">
        <f aca="false">N10+N11</f>
        <v>0.0113948767191891</v>
      </c>
      <c r="O12" s="40" t="n">
        <f aca="false">O10+O11</f>
        <v>0.820037172956142</v>
      </c>
      <c r="P12" s="40" t="n">
        <f aca="false">P10+P11</f>
        <v>1.72872837055485</v>
      </c>
      <c r="Q12" s="40" t="n">
        <f aca="false">Q10+Q11</f>
        <v>2.74637932998941</v>
      </c>
      <c r="R12" s="40" t="n">
        <f aca="false">R10+R11</f>
        <v>3.8825415090155</v>
      </c>
      <c r="S12" s="40" t="n">
        <f aca="false">S10+S11</f>
        <v>5.14744453790784</v>
      </c>
      <c r="T12" s="40" t="n">
        <f aca="false">T10+T11</f>
        <v>6.55203563351251</v>
      </c>
      <c r="U12" s="40" t="n">
        <f aca="false">U10+U11</f>
        <v>8.10802094615637</v>
      </c>
      <c r="V12" s="40" t="n">
        <f aca="false">V10+V11</f>
        <v>9.82790894138619</v>
      </c>
      <c r="W12" s="40" t="n">
        <f aca="false">W10+W11</f>
        <v>11.7250559273012</v>
      </c>
      <c r="X12" s="40" t="n">
        <f aca="false">X10+X11</f>
        <v>13.8137138479674</v>
      </c>
      <c r="Y12" s="40" t="n">
        <f aca="false">Y10+Y11</f>
        <v>16.1090804741378</v>
      </c>
      <c r="Z12" s="40" t="n">
        <f aca="false">Z10+Z11</f>
        <v>18.627352134335</v>
      </c>
      <c r="AA12" s="40" t="n">
        <f aca="false">AA10+AA11</f>
        <v>21.385779142359</v>
      </c>
      <c r="AB12" s="40" t="n">
        <f aca="false">AB10+AB11</f>
        <v>24.4027240915695</v>
      </c>
      <c r="AC12" s="40" t="n">
        <f aca="false">AC10+AC11</f>
        <v>27.6977232019321</v>
      </c>
      <c r="AD12" s="40" t="n">
        <f aca="false">AD10+AD11</f>
        <v>31.2915509229366</v>
      </c>
      <c r="AE12" s="40" t="n">
        <f aca="false">AE10+AE11</f>
        <v>35.206288014172</v>
      </c>
      <c r="AF12" s="40" t="n">
        <f aca="false">AF10+AF11</f>
        <v>39.4653933457111</v>
      </c>
    </row>
    <row r="13" customFormat="false" ht="15" hidden="false" customHeight="false" outlineLevel="0" collapsed="false">
      <c r="A13" s="6"/>
      <c r="B13" s="38" t="s">
        <v>151</v>
      </c>
      <c r="C13" s="35" t="n">
        <f aca="false">0</f>
        <v>0</v>
      </c>
      <c r="D13" s="35" t="n">
        <f aca="false">-MIN(BS_Revolver,Revolver_Size)*Interest_Rate</f>
        <v>-0</v>
      </c>
      <c r="E13" s="35" t="n">
        <f aca="false">-MIN(BS_Revolver,Revolver_Size)*Interest_Rate</f>
        <v>-0</v>
      </c>
      <c r="F13" s="35" t="n">
        <f aca="false">-MIN(BS_Revolver,Revolver_Size)*Interest_Rate</f>
        <v>-0</v>
      </c>
      <c r="G13" s="35" t="n">
        <f aca="false">-MIN(BS_Revolver,Revolver_Size)*Interest_Rate</f>
        <v>-0</v>
      </c>
      <c r="H13" s="35" t="n">
        <f aca="false">-MIN(BS_Revolver,Revolver_Size)*Interest_Rate</f>
        <v>-0</v>
      </c>
      <c r="I13" s="35" t="n">
        <f aca="false">-MIN(BS_Revolver,Revolver_Size)*Interest_Rate</f>
        <v>-0</v>
      </c>
      <c r="J13" s="35" t="n">
        <f aca="false">-MIN(BS_Revolver,Revolver_Size)*Interest_Rate</f>
        <v>-0</v>
      </c>
      <c r="K13" s="35" t="n">
        <f aca="false">-MIN(BS_Revolver,Revolver_Size)*Interest_Rate</f>
        <v>-0</v>
      </c>
      <c r="L13" s="35" t="n">
        <f aca="false">-MIN(BS_Revolver,Revolver_Size)*Interest_Rate</f>
        <v>-0</v>
      </c>
      <c r="M13" s="35" t="n">
        <f aca="false">-MIN(BS_Revolver,Revolver_Size)*Interest_Rate</f>
        <v>-0</v>
      </c>
      <c r="N13" s="35" t="n">
        <f aca="false">-MIN(BS_Revolver,Revolver_Size)*Interest_Rate</f>
        <v>-0</v>
      </c>
      <c r="O13" s="35" t="n">
        <f aca="false">-MIN(BS_Revolver,Revolver_Size)*Interest_Rate</f>
        <v>-0</v>
      </c>
      <c r="P13" s="35" t="n">
        <f aca="false">-MIN(BS_Revolver,Revolver_Size)*Interest_Rate</f>
        <v>-0</v>
      </c>
      <c r="Q13" s="35" t="n">
        <f aca="false">-MIN(BS_Revolver,Revolver_Size)*Interest_Rate</f>
        <v>-0</v>
      </c>
      <c r="R13" s="35" t="n">
        <f aca="false">-MIN(BS_Revolver,Revolver_Size)*Interest_Rate</f>
        <v>-0</v>
      </c>
      <c r="S13" s="35" t="n">
        <f aca="false">-MIN(BS_Revolver,Revolver_Size)*Interest_Rate</f>
        <v>-0</v>
      </c>
      <c r="T13" s="35" t="n">
        <f aca="false">-MIN(BS_Revolver,Revolver_Size)*Interest_Rate</f>
        <v>-0</v>
      </c>
      <c r="U13" s="35" t="n">
        <f aca="false">-MIN(BS_Revolver,Revolver_Size)*Interest_Rate</f>
        <v>-0</v>
      </c>
      <c r="V13" s="35" t="n">
        <f aca="false">-MIN(BS_Revolver,Revolver_Size)*Interest_Rate</f>
        <v>-0</v>
      </c>
      <c r="W13" s="35" t="n">
        <f aca="false">-MIN(BS_Revolver,Revolver_Size)*Interest_Rate</f>
        <v>-0</v>
      </c>
      <c r="X13" s="35" t="n">
        <f aca="false">-MIN(BS_Revolver,Revolver_Size)*Interest_Rate</f>
        <v>-0</v>
      </c>
      <c r="Y13" s="35" t="n">
        <f aca="false">-MIN(BS_Revolver,Revolver_Size)*Interest_Rate</f>
        <v>-0</v>
      </c>
      <c r="Z13" s="35" t="n">
        <f aca="false">-MIN(BS_Revolver,Revolver_Size)*Interest_Rate</f>
        <v>-0</v>
      </c>
      <c r="AA13" s="35" t="n">
        <f aca="false">-MIN(BS_Revolver,Revolver_Size)*Interest_Rate</f>
        <v>-0</v>
      </c>
      <c r="AB13" s="35" t="n">
        <f aca="false">-MIN(BS_Revolver,Revolver_Size)*Interest_Rate</f>
        <v>-0</v>
      </c>
      <c r="AC13" s="35" t="n">
        <f aca="false">-MIN(BS_Revolver,Revolver_Size)*Interest_Rate</f>
        <v>-0</v>
      </c>
      <c r="AD13" s="35" t="n">
        <f aca="false">-MIN(BS_Revolver,Revolver_Size)*Interest_Rate</f>
        <v>-0</v>
      </c>
      <c r="AE13" s="35" t="n">
        <f aca="false">-MIN(BS_Revolver,Revolver_Size)*Interest_Rate</f>
        <v>-0</v>
      </c>
      <c r="AF13" s="35" t="n">
        <f aca="false">-MIN(BS_Revolver,Revolver_Size)*Interest_Rate</f>
        <v>-0</v>
      </c>
    </row>
    <row r="14" customFormat="false" ht="15" hidden="false" customHeight="false" outlineLevel="0" collapsed="false">
      <c r="A14" s="6"/>
      <c r="B14" s="39" t="s">
        <v>152</v>
      </c>
      <c r="C14" s="40" t="n">
        <f aca="false">C12+C13</f>
        <v>-4.287373375</v>
      </c>
      <c r="D14" s="40" t="n">
        <f aca="false">D12+D13</f>
        <v>-4.14164180109479</v>
      </c>
      <c r="E14" s="40" t="n">
        <f aca="false">E12+E13</f>
        <v>-3.96073998168988</v>
      </c>
      <c r="F14" s="40" t="n">
        <f aca="false">F12+F13</f>
        <v>-3.74077362381116</v>
      </c>
      <c r="G14" s="40" t="n">
        <f aca="false">G12+G13</f>
        <v>-3.47752082559286</v>
      </c>
      <c r="H14" s="40" t="n">
        <f aca="false">H12+H13</f>
        <v>-3.16641012001894</v>
      </c>
      <c r="I14" s="40" t="n">
        <f aca="false">I12+I13</f>
        <v>-2.8024973742076</v>
      </c>
      <c r="J14" s="40" t="n">
        <f aca="false">J12+J13</f>
        <v>-2.380441498069</v>
      </c>
      <c r="K14" s="40" t="n">
        <f aca="false">K12+K13</f>
        <v>-1.89447891387155</v>
      </c>
      <c r="L14" s="40" t="n">
        <f aca="false">L12+L13</f>
        <v>-1.33839673567296</v>
      </c>
      <c r="M14" s="40" t="n">
        <f aca="false">M12+M13</f>
        <v>-0.705504604672429</v>
      </c>
      <c r="N14" s="40" t="n">
        <f aca="false">N12+N13</f>
        <v>0.0113948767191891</v>
      </c>
      <c r="O14" s="40" t="n">
        <f aca="false">O12+O13</f>
        <v>0.820037172956142</v>
      </c>
      <c r="P14" s="40" t="n">
        <f aca="false">P12+P13</f>
        <v>1.72872837055485</v>
      </c>
      <c r="Q14" s="40" t="n">
        <f aca="false">Q12+Q13</f>
        <v>2.74637932998941</v>
      </c>
      <c r="R14" s="40" t="n">
        <f aca="false">R12+R13</f>
        <v>3.8825415090155</v>
      </c>
      <c r="S14" s="40" t="n">
        <f aca="false">S12+S13</f>
        <v>5.14744453790784</v>
      </c>
      <c r="T14" s="40" t="n">
        <f aca="false">T12+T13</f>
        <v>6.55203563351251</v>
      </c>
      <c r="U14" s="40" t="n">
        <f aca="false">U12+U13</f>
        <v>8.10802094615637</v>
      </c>
      <c r="V14" s="40" t="n">
        <f aca="false">V12+V13</f>
        <v>9.82790894138619</v>
      </c>
      <c r="W14" s="40" t="n">
        <f aca="false">W12+W13</f>
        <v>11.7250559273012</v>
      </c>
      <c r="X14" s="40" t="n">
        <f aca="false">X12+X13</f>
        <v>13.8137138479674</v>
      </c>
      <c r="Y14" s="40" t="n">
        <f aca="false">Y12+Y13</f>
        <v>16.1090804741378</v>
      </c>
      <c r="Z14" s="40" t="n">
        <f aca="false">Z12+Z13</f>
        <v>18.627352134335</v>
      </c>
      <c r="AA14" s="40" t="n">
        <f aca="false">AA12+AA13</f>
        <v>21.385779142359</v>
      </c>
      <c r="AB14" s="40" t="n">
        <f aca="false">AB12+AB13</f>
        <v>24.4027240915695</v>
      </c>
      <c r="AC14" s="40" t="n">
        <f aca="false">AC12+AC13</f>
        <v>27.6977232019321</v>
      </c>
      <c r="AD14" s="40" t="n">
        <f aca="false">AD12+AD13</f>
        <v>31.2915509229366</v>
      </c>
      <c r="AE14" s="40" t="n">
        <f aca="false">AE12+AE13</f>
        <v>35.206288014172</v>
      </c>
      <c r="AF14" s="40" t="n">
        <f aca="false">AF12+AF13</f>
        <v>39.4653933457111</v>
      </c>
    </row>
    <row r="15" customFormat="false" ht="15" hidden="false" customHeight="false" outlineLevel="0" collapsed="false">
      <c r="A15" s="6"/>
      <c r="B15" s="38" t="s">
        <v>153</v>
      </c>
      <c r="C15" s="35" t="n">
        <f aca="false">-MAX(0,C14)*Tax_Rate</f>
        <v>-0</v>
      </c>
      <c r="D15" s="35" t="n">
        <f aca="false">-MAX(0,D14)*Tax_Rate</f>
        <v>-0</v>
      </c>
      <c r="E15" s="35" t="n">
        <f aca="false">-MAX(0,E14)*Tax_Rate</f>
        <v>-0</v>
      </c>
      <c r="F15" s="35" t="n">
        <f aca="false">-MAX(0,F14)*Tax_Rate</f>
        <v>-0</v>
      </c>
      <c r="G15" s="35" t="n">
        <f aca="false">-MAX(0,G14)*Tax_Rate</f>
        <v>-0</v>
      </c>
      <c r="H15" s="35" t="n">
        <f aca="false">-MAX(0,H14)*Tax_Rate</f>
        <v>-0</v>
      </c>
      <c r="I15" s="35" t="n">
        <f aca="false">-MAX(0,I14)*Tax_Rate</f>
        <v>-0</v>
      </c>
      <c r="J15" s="35" t="n">
        <f aca="false">-MAX(0,J14)*Tax_Rate</f>
        <v>-0</v>
      </c>
      <c r="K15" s="35" t="n">
        <f aca="false">-MAX(0,K14)*Tax_Rate</f>
        <v>-0</v>
      </c>
      <c r="L15" s="35" t="n">
        <f aca="false">-MAX(0,L14)*Tax_Rate</f>
        <v>-0</v>
      </c>
      <c r="M15" s="35" t="n">
        <f aca="false">-MAX(0,M14)*Tax_Rate</f>
        <v>-0</v>
      </c>
      <c r="N15" s="35" t="n">
        <f aca="false">-MAX(0,N14)*Tax_Rate</f>
        <v>-0.00284871917979727</v>
      </c>
      <c r="O15" s="35" t="n">
        <f aca="false">-MAX(0,O14)*Tax_Rate</f>
        <v>-0.205009293239036</v>
      </c>
      <c r="P15" s="35" t="n">
        <f aca="false">-MAX(0,P14)*Tax_Rate</f>
        <v>-0.432182092638714</v>
      </c>
      <c r="Q15" s="35" t="n">
        <f aca="false">-MAX(0,Q14)*Tax_Rate</f>
        <v>-0.686594832497351</v>
      </c>
      <c r="R15" s="35" t="n">
        <f aca="false">-MAX(0,R14)*Tax_Rate</f>
        <v>-0.970635377253874</v>
      </c>
      <c r="S15" s="35" t="n">
        <f aca="false">-MAX(0,S14)*Tax_Rate</f>
        <v>-1.28686113447696</v>
      </c>
      <c r="T15" s="35" t="n">
        <f aca="false">-MAX(0,T14)*Tax_Rate</f>
        <v>-1.63800890837813</v>
      </c>
      <c r="U15" s="35" t="n">
        <f aca="false">-MAX(0,U14)*Tax_Rate</f>
        <v>-2.02700523653909</v>
      </c>
      <c r="V15" s="35" t="n">
        <f aca="false">-MAX(0,V14)*Tax_Rate</f>
        <v>-2.45697723534655</v>
      </c>
      <c r="W15" s="35" t="n">
        <f aca="false">-MAX(0,W14)*Tax_Rate</f>
        <v>-2.9312639818253</v>
      </c>
      <c r="X15" s="35" t="n">
        <f aca="false">-MAX(0,X14)*Tax_Rate</f>
        <v>-3.45342846199185</v>
      </c>
      <c r="Y15" s="35" t="n">
        <f aca="false">-MAX(0,Y14)*Tax_Rate</f>
        <v>-4.02727011853446</v>
      </c>
      <c r="Z15" s="35" t="n">
        <f aca="false">-MAX(0,Z14)*Tax_Rate</f>
        <v>-4.65683803358374</v>
      </c>
      <c r="AA15" s="35" t="n">
        <f aca="false">-MAX(0,AA14)*Tax_Rate</f>
        <v>-5.34644478558975</v>
      </c>
      <c r="AB15" s="35" t="n">
        <f aca="false">-MAX(0,AB14)*Tax_Rate</f>
        <v>-6.10068102289236</v>
      </c>
      <c r="AC15" s="35" t="n">
        <f aca="false">-MAX(0,AC14)*Tax_Rate</f>
        <v>-6.92443080048303</v>
      </c>
      <c r="AD15" s="35" t="n">
        <f aca="false">-MAX(0,AD14)*Tax_Rate</f>
        <v>-7.82288773073414</v>
      </c>
      <c r="AE15" s="35" t="n">
        <f aca="false">-MAX(0,AE14)*Tax_Rate</f>
        <v>-8.80157200354299</v>
      </c>
      <c r="AF15" s="35" t="n">
        <f aca="false">-MAX(0,AF14)*Tax_Rate</f>
        <v>-9.86634833642777</v>
      </c>
    </row>
    <row r="16" customFormat="false" ht="15" hidden="false" customHeight="false" outlineLevel="0" collapsed="false">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row>
    <row r="17" customFormat="false" ht="15" hidden="false" customHeight="false" outlineLevel="0" collapsed="false">
      <c r="A17" s="6"/>
      <c r="B17" s="36" t="s">
        <v>154</v>
      </c>
      <c r="C17" s="37" t="n">
        <f aca="false">C14+C15</f>
        <v>-4.287373375</v>
      </c>
      <c r="D17" s="37" t="n">
        <f aca="false">D14+D15</f>
        <v>-4.14164180109479</v>
      </c>
      <c r="E17" s="37" t="n">
        <f aca="false">E14+E15</f>
        <v>-3.96073998168988</v>
      </c>
      <c r="F17" s="37" t="n">
        <f aca="false">F14+F15</f>
        <v>-3.74077362381116</v>
      </c>
      <c r="G17" s="37" t="n">
        <f aca="false">G14+G15</f>
        <v>-3.47752082559286</v>
      </c>
      <c r="H17" s="37" t="n">
        <f aca="false">H14+H15</f>
        <v>-3.16641012001894</v>
      </c>
      <c r="I17" s="37" t="n">
        <f aca="false">I14+I15</f>
        <v>-2.8024973742076</v>
      </c>
      <c r="J17" s="37" t="n">
        <f aca="false">J14+J15</f>
        <v>-2.380441498069</v>
      </c>
      <c r="K17" s="37" t="n">
        <f aca="false">K14+K15</f>
        <v>-1.89447891387155</v>
      </c>
      <c r="L17" s="37" t="n">
        <f aca="false">L14+L15</f>
        <v>-1.33839673567296</v>
      </c>
      <c r="M17" s="37" t="n">
        <f aca="false">M14+M15</f>
        <v>-0.705504604672429</v>
      </c>
      <c r="N17" s="37" t="n">
        <f aca="false">N14+N15</f>
        <v>0.00854615753939182</v>
      </c>
      <c r="O17" s="37" t="n">
        <f aca="false">O14+O15</f>
        <v>0.615027879717107</v>
      </c>
      <c r="P17" s="37" t="n">
        <f aca="false">P14+P15</f>
        <v>1.29654627791614</v>
      </c>
      <c r="Q17" s="37" t="n">
        <f aca="false">Q14+Q15</f>
        <v>2.05978449749205</v>
      </c>
      <c r="R17" s="37" t="n">
        <f aca="false">R14+R15</f>
        <v>2.91190613176162</v>
      </c>
      <c r="S17" s="37" t="n">
        <f aca="false">S14+S15</f>
        <v>3.86058340343088</v>
      </c>
      <c r="T17" s="37" t="n">
        <f aca="false">T14+T15</f>
        <v>4.91402672513438</v>
      </c>
      <c r="U17" s="37" t="n">
        <f aca="false">U14+U15</f>
        <v>6.08101570961728</v>
      </c>
      <c r="V17" s="37" t="n">
        <f aca="false">V14+V15</f>
        <v>7.37093170603964</v>
      </c>
      <c r="W17" s="37" t="n">
        <f aca="false">W14+W15</f>
        <v>8.79379194547591</v>
      </c>
      <c r="X17" s="37" t="n">
        <f aca="false">X14+X15</f>
        <v>10.3602853859755</v>
      </c>
      <c r="Y17" s="37" t="n">
        <f aca="false">Y14+Y15</f>
        <v>12.0818103556034</v>
      </c>
      <c r="Z17" s="37" t="n">
        <f aca="false">Z14+Z15</f>
        <v>13.9705141007512</v>
      </c>
      <c r="AA17" s="37" t="n">
        <f aca="false">AA14+AA15</f>
        <v>16.0393343567693</v>
      </c>
      <c r="AB17" s="37" t="n">
        <f aca="false">AB14+AB15</f>
        <v>18.3020430686771</v>
      </c>
      <c r="AC17" s="37" t="n">
        <f aca="false">AC14+AC15</f>
        <v>20.7732924014491</v>
      </c>
      <c r="AD17" s="37" t="n">
        <f aca="false">AD14+AD15</f>
        <v>23.4686631922024</v>
      </c>
      <c r="AE17" s="37" t="n">
        <f aca="false">AE14+AE15</f>
        <v>26.404716010629</v>
      </c>
      <c r="AF17" s="37" t="n">
        <f aca="false">AF14+AF15</f>
        <v>29.5990450092833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F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32" min="3" style="0" width="12"/>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6"/>
      <c r="AF1" s="6"/>
    </row>
    <row r="2" customFormat="false" ht="21.75" hidden="false" customHeight="true" outlineLevel="0" collapsed="false">
      <c r="A2" s="1"/>
      <c r="B2" s="21" t="s">
        <v>155</v>
      </c>
      <c r="C2" s="1"/>
      <c r="D2" s="1"/>
      <c r="E2" s="1"/>
      <c r="F2" s="1"/>
      <c r="G2" s="1"/>
      <c r="H2" s="1"/>
      <c r="I2" s="1"/>
      <c r="J2" s="1"/>
      <c r="K2" s="1"/>
      <c r="L2" s="1"/>
      <c r="M2" s="1"/>
      <c r="N2" s="1"/>
      <c r="O2" s="1"/>
      <c r="P2" s="1"/>
      <c r="Q2" s="1"/>
      <c r="R2" s="1"/>
      <c r="S2" s="1"/>
      <c r="T2" s="1"/>
      <c r="U2" s="1"/>
      <c r="V2" s="1"/>
      <c r="W2" s="1"/>
      <c r="X2" s="1"/>
      <c r="Y2" s="1"/>
      <c r="Z2" s="1"/>
      <c r="AA2" s="1"/>
      <c r="AB2" s="1"/>
      <c r="AC2" s="1"/>
      <c r="AD2" s="1"/>
      <c r="AE2" s="6"/>
      <c r="AF2" s="6"/>
    </row>
    <row r="3" customFormat="false" ht="15" hidden="false" customHeight="false" outlineLevel="0" collapsed="false">
      <c r="A3" s="1"/>
      <c r="B3" s="22" t="s">
        <v>156</v>
      </c>
      <c r="C3" s="1"/>
      <c r="D3" s="1"/>
      <c r="E3" s="1"/>
      <c r="F3" s="1"/>
      <c r="G3" s="1"/>
      <c r="H3" s="1"/>
      <c r="I3" s="1"/>
      <c r="J3" s="1"/>
      <c r="K3" s="1"/>
      <c r="L3" s="1"/>
      <c r="M3" s="1"/>
      <c r="N3" s="1"/>
      <c r="O3" s="1"/>
      <c r="P3" s="1"/>
      <c r="Q3" s="1"/>
      <c r="R3" s="1"/>
      <c r="S3" s="1"/>
      <c r="T3" s="1"/>
      <c r="U3" s="1"/>
      <c r="V3" s="1"/>
      <c r="W3" s="1"/>
      <c r="X3" s="1"/>
      <c r="Y3" s="1"/>
      <c r="Z3" s="1"/>
      <c r="AA3" s="1"/>
      <c r="AB3" s="1"/>
      <c r="AC3" s="1"/>
      <c r="AD3" s="1"/>
      <c r="AE3" s="6"/>
      <c r="AF3" s="6"/>
    </row>
    <row r="4" customFormat="false" ht="15" hidden="false" customHeight="false" outlineLevel="0" collapsed="false">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row>
    <row r="5" customFormat="false" ht="15" hidden="false" customHeight="false" outlineLevel="0" collapsed="false">
      <c r="A5" s="6"/>
      <c r="B5" s="29" t="s">
        <v>36</v>
      </c>
      <c r="C5" s="30" t="n">
        <f aca="false">Launch_Year+0</f>
        <v>2025</v>
      </c>
      <c r="D5" s="30" t="n">
        <f aca="false">Launch_Year+1</f>
        <v>2026</v>
      </c>
      <c r="E5" s="30" t="n">
        <f aca="false">Launch_Year+2</f>
        <v>2027</v>
      </c>
      <c r="F5" s="30" t="n">
        <f aca="false">Launch_Year+3</f>
        <v>2028</v>
      </c>
      <c r="G5" s="30" t="n">
        <f aca="false">Launch_Year+4</f>
        <v>2029</v>
      </c>
      <c r="H5" s="30" t="n">
        <f aca="false">Launch_Year+5</f>
        <v>2030</v>
      </c>
      <c r="I5" s="30" t="n">
        <f aca="false">Launch_Year+6</f>
        <v>2031</v>
      </c>
      <c r="J5" s="30" t="n">
        <f aca="false">Launch_Year+7</f>
        <v>2032</v>
      </c>
      <c r="K5" s="30" t="n">
        <f aca="false">Launch_Year+8</f>
        <v>2033</v>
      </c>
      <c r="L5" s="30" t="n">
        <f aca="false">Launch_Year+9</f>
        <v>2034</v>
      </c>
      <c r="M5" s="30" t="n">
        <f aca="false">Launch_Year+10</f>
        <v>2035</v>
      </c>
      <c r="N5" s="30" t="n">
        <f aca="false">Launch_Year+11</f>
        <v>2036</v>
      </c>
      <c r="O5" s="30" t="n">
        <f aca="false">Launch_Year+12</f>
        <v>2037</v>
      </c>
      <c r="P5" s="30" t="n">
        <f aca="false">Launch_Year+13</f>
        <v>2038</v>
      </c>
      <c r="Q5" s="30" t="n">
        <f aca="false">Launch_Year+14</f>
        <v>2039</v>
      </c>
      <c r="R5" s="30" t="n">
        <f aca="false">Launch_Year+15</f>
        <v>2040</v>
      </c>
      <c r="S5" s="30" t="n">
        <f aca="false">Launch_Year+16</f>
        <v>2041</v>
      </c>
      <c r="T5" s="30" t="n">
        <f aca="false">Launch_Year+17</f>
        <v>2042</v>
      </c>
      <c r="U5" s="30" t="n">
        <f aca="false">Launch_Year+18</f>
        <v>2043</v>
      </c>
      <c r="V5" s="30" t="n">
        <f aca="false">Launch_Year+19</f>
        <v>2044</v>
      </c>
      <c r="W5" s="30" t="n">
        <f aca="false">Launch_Year+20</f>
        <v>2045</v>
      </c>
      <c r="X5" s="30" t="n">
        <f aca="false">Launch_Year+21</f>
        <v>2046</v>
      </c>
      <c r="Y5" s="30" t="n">
        <f aca="false">Launch_Year+22</f>
        <v>2047</v>
      </c>
      <c r="Z5" s="30" t="n">
        <f aca="false">Launch_Year+23</f>
        <v>2048</v>
      </c>
      <c r="AA5" s="30" t="n">
        <f aca="false">Launch_Year+24</f>
        <v>2049</v>
      </c>
      <c r="AB5" s="30" t="n">
        <f aca="false">Launch_Year+25</f>
        <v>2050</v>
      </c>
      <c r="AC5" s="30" t="n">
        <f aca="false">Launch_Year+26</f>
        <v>2051</v>
      </c>
      <c r="AD5" s="30" t="n">
        <f aca="false">Launch_Year+27</f>
        <v>2052</v>
      </c>
      <c r="AE5" s="30" t="n">
        <f aca="false">Launch_Year+28</f>
        <v>2053</v>
      </c>
      <c r="AF5" s="30" t="n">
        <f aca="false">Launch_Year+29</f>
        <v>2054</v>
      </c>
    </row>
    <row r="6" customFormat="false" ht="15" hidden="false" customHeight="false" outlineLevel="0" collapsed="false">
      <c r="A6" s="6"/>
      <c r="B6" s="23" t="s">
        <v>157</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row>
    <row r="7" customFormat="false" ht="15" hidden="false" customHeight="false" outlineLevel="0" collapsed="false">
      <c r="A7" s="6"/>
      <c r="B7" s="10" t="s">
        <v>158</v>
      </c>
      <c r="C7" s="35" t="n">
        <f aca="false">IS_Net_Income</f>
        <v>-4.287373375</v>
      </c>
      <c r="D7" s="35" t="n">
        <f aca="false">IS_Net_Income</f>
        <v>-4.14164180109479</v>
      </c>
      <c r="E7" s="35" t="n">
        <f aca="false">IS_Net_Income</f>
        <v>-3.96073998168988</v>
      </c>
      <c r="F7" s="35" t="n">
        <f aca="false">IS_Net_Income</f>
        <v>-3.74077362381116</v>
      </c>
      <c r="G7" s="35" t="n">
        <f aca="false">IS_Net_Income</f>
        <v>-3.47752082559286</v>
      </c>
      <c r="H7" s="35" t="n">
        <f aca="false">IS_Net_Income</f>
        <v>-3.16641012001894</v>
      </c>
      <c r="I7" s="35" t="n">
        <f aca="false">IS_Net_Income</f>
        <v>-2.8024973742076</v>
      </c>
      <c r="J7" s="35" t="n">
        <f aca="false">IS_Net_Income</f>
        <v>-2.380441498069</v>
      </c>
      <c r="K7" s="35" t="n">
        <f aca="false">IS_Net_Income</f>
        <v>-1.89447891387155</v>
      </c>
      <c r="L7" s="35" t="n">
        <f aca="false">IS_Net_Income</f>
        <v>-1.33839673567296</v>
      </c>
      <c r="M7" s="35" t="n">
        <f aca="false">IS_Net_Income</f>
        <v>-0.705504604672429</v>
      </c>
      <c r="N7" s="35" t="n">
        <f aca="false">IS_Net_Income</f>
        <v>0.00854615753939182</v>
      </c>
      <c r="O7" s="35" t="n">
        <f aca="false">IS_Net_Income</f>
        <v>0.615027879717107</v>
      </c>
      <c r="P7" s="35" t="n">
        <f aca="false">IS_Net_Income</f>
        <v>1.29654627791614</v>
      </c>
      <c r="Q7" s="35" t="n">
        <f aca="false">IS_Net_Income</f>
        <v>2.05978449749205</v>
      </c>
      <c r="R7" s="35" t="n">
        <f aca="false">IS_Net_Income</f>
        <v>2.91190613176162</v>
      </c>
      <c r="S7" s="35" t="n">
        <f aca="false">IS_Net_Income</f>
        <v>3.86058340343088</v>
      </c>
      <c r="T7" s="35" t="n">
        <f aca="false">IS_Net_Income</f>
        <v>4.91402672513438</v>
      </c>
      <c r="U7" s="35" t="n">
        <f aca="false">IS_Net_Income</f>
        <v>6.08101570961728</v>
      </c>
      <c r="V7" s="35" t="n">
        <f aca="false">IS_Net_Income</f>
        <v>7.37093170603964</v>
      </c>
      <c r="W7" s="35" t="n">
        <f aca="false">IS_Net_Income</f>
        <v>8.79379194547591</v>
      </c>
      <c r="X7" s="35" t="n">
        <f aca="false">IS_Net_Income</f>
        <v>10.3602853859755</v>
      </c>
      <c r="Y7" s="35" t="n">
        <f aca="false">IS_Net_Income</f>
        <v>12.0818103556034</v>
      </c>
      <c r="Z7" s="35" t="n">
        <f aca="false">IS_Net_Income</f>
        <v>13.9705141007512</v>
      </c>
      <c r="AA7" s="35" t="n">
        <f aca="false">IS_Net_Income</f>
        <v>16.0393343567693</v>
      </c>
      <c r="AB7" s="35" t="n">
        <f aca="false">IS_Net_Income</f>
        <v>18.3020430686771</v>
      </c>
      <c r="AC7" s="35" t="n">
        <f aca="false">IS_Net_Income</f>
        <v>20.7732924014491</v>
      </c>
      <c r="AD7" s="35" t="n">
        <f aca="false">IS_Net_Income</f>
        <v>23.4686631922024</v>
      </c>
      <c r="AE7" s="35" t="n">
        <f aca="false">IS_Net_Income</f>
        <v>26.404716010629</v>
      </c>
      <c r="AF7" s="35" t="n">
        <f aca="false">IS_Net_Income</f>
        <v>29.5990450092833</v>
      </c>
    </row>
    <row r="8" customFormat="false" ht="15" hidden="false" customHeight="false" outlineLevel="0" collapsed="false">
      <c r="A8" s="6"/>
      <c r="B8" s="38" t="s">
        <v>109</v>
      </c>
      <c r="C8" s="35" t="n">
        <f aca="false">-IS_Depr</f>
        <v>0.2</v>
      </c>
      <c r="D8" s="35" t="n">
        <f aca="false">-IS_Depr</f>
        <v>0.2</v>
      </c>
      <c r="E8" s="35" t="n">
        <f aca="false">-IS_Depr</f>
        <v>0.2</v>
      </c>
      <c r="F8" s="35" t="n">
        <f aca="false">-IS_Depr</f>
        <v>0.2</v>
      </c>
      <c r="G8" s="35" t="n">
        <f aca="false">-IS_Depr</f>
        <v>0.2</v>
      </c>
      <c r="H8" s="35" t="n">
        <f aca="false">-IS_Depr</f>
        <v>0.2</v>
      </c>
      <c r="I8" s="35" t="n">
        <f aca="false">-IS_Depr</f>
        <v>0.2</v>
      </c>
      <c r="J8" s="35" t="n">
        <f aca="false">-IS_Depr</f>
        <v>0.2</v>
      </c>
      <c r="K8" s="35" t="n">
        <f aca="false">-IS_Depr</f>
        <v>0.2</v>
      </c>
      <c r="L8" s="35" t="n">
        <f aca="false">-IS_Depr</f>
        <v>0.2</v>
      </c>
      <c r="M8" s="35" t="n">
        <f aca="false">-IS_Depr</f>
        <v>0.2</v>
      </c>
      <c r="N8" s="35" t="n">
        <f aca="false">-IS_Depr</f>
        <v>0.2</v>
      </c>
      <c r="O8" s="35" t="n">
        <f aca="false">-IS_Depr</f>
        <v>0.2</v>
      </c>
      <c r="P8" s="35" t="n">
        <f aca="false">-IS_Depr</f>
        <v>0.2</v>
      </c>
      <c r="Q8" s="35" t="n">
        <f aca="false">-IS_Depr</f>
        <v>0.2</v>
      </c>
      <c r="R8" s="35" t="n">
        <f aca="false">-IS_Depr</f>
        <v>0.2</v>
      </c>
      <c r="S8" s="35" t="n">
        <f aca="false">-IS_Depr</f>
        <v>0.2</v>
      </c>
      <c r="T8" s="35" t="n">
        <f aca="false">-IS_Depr</f>
        <v>0.2</v>
      </c>
      <c r="U8" s="35" t="n">
        <f aca="false">-IS_Depr</f>
        <v>0.2</v>
      </c>
      <c r="V8" s="35" t="n">
        <f aca="false">-IS_Depr</f>
        <v>0.2</v>
      </c>
      <c r="W8" s="35" t="n">
        <f aca="false">-IS_Depr</f>
        <v>0.2</v>
      </c>
      <c r="X8" s="35" t="n">
        <f aca="false">-IS_Depr</f>
        <v>0.2</v>
      </c>
      <c r="Y8" s="35" t="n">
        <f aca="false">-IS_Depr</f>
        <v>0.2</v>
      </c>
      <c r="Z8" s="35" t="n">
        <f aca="false">-IS_Depr</f>
        <v>0.2</v>
      </c>
      <c r="AA8" s="35" t="n">
        <f aca="false">-IS_Depr</f>
        <v>0.2</v>
      </c>
      <c r="AB8" s="35" t="n">
        <f aca="false">-IS_Depr</f>
        <v>0.2</v>
      </c>
      <c r="AC8" s="35" t="n">
        <f aca="false">-IS_Depr</f>
        <v>0.2</v>
      </c>
      <c r="AD8" s="35" t="n">
        <f aca="false">-IS_Depr</f>
        <v>0.2</v>
      </c>
      <c r="AE8" s="35" t="n">
        <f aca="false">-IS_Depr</f>
        <v>0.2</v>
      </c>
      <c r="AF8" s="35" t="n">
        <f aca="false">-IS_Depr</f>
        <v>0.2</v>
      </c>
    </row>
    <row r="9" customFormat="false" ht="15" hidden="false" customHeight="false" outlineLevel="0" collapsed="false">
      <c r="A9" s="6"/>
      <c r="B9" s="38" t="s">
        <v>159</v>
      </c>
      <c r="C9" s="35" t="n">
        <f aca="false">-C24</f>
        <v>-0.0220751506849315</v>
      </c>
      <c r="D9" s="35" t="n">
        <f aca="false">-(D24-C24)</f>
        <v>-0.0262908050773973</v>
      </c>
      <c r="E9" s="35" t="n">
        <f aca="false">-(E24-D24)</f>
        <v>-0.0302212415243744</v>
      </c>
      <c r="F9" s="35" t="n">
        <f aca="false">-(F24-E24)</f>
        <v>-0.0345629636153823</v>
      </c>
      <c r="G9" s="35" t="n">
        <f aca="false">-(G24-F24)</f>
        <v>-0.0393501584848126</v>
      </c>
      <c r="H9" s="35" t="n">
        <f aca="false">-(H24-G24)</f>
        <v>-0.0446192971517807</v>
      </c>
      <c r="I9" s="35" t="n">
        <f aca="false">-(I24-H24)</f>
        <v>-0.050409253448003</v>
      </c>
      <c r="J9" s="35" t="n">
        <f aca="false">-(J24-I24)</f>
        <v>-0.0567614277418122</v>
      </c>
      <c r="K9" s="35" t="n">
        <f aca="false">-(K24-J24)</f>
        <v>-0.0637198756966232</v>
      </c>
      <c r="L9" s="35" t="n">
        <f aca="false">-(L24-K24)</f>
        <v>-0.0713314423316877</v>
      </c>
      <c r="M9" s="35" t="n">
        <f aca="false">-(M24-L24)</f>
        <v>-0.0796459016862767</v>
      </c>
      <c r="N9" s="35" t="n">
        <f aca="false">-(N24-M24)</f>
        <v>-0.088716102425777</v>
      </c>
      <c r="O9" s="35" t="n">
        <f aca="false">-(O24-N24)</f>
        <v>-0.0985981197699242</v>
      </c>
      <c r="P9" s="35" t="n">
        <f aca="false">-(P24-O24)</f>
        <v>-0.109351414169825</v>
      </c>
      <c r="Q9" s="35" t="n">
        <f aca="false">-(Q24-P24)</f>
        <v>-0.12103899721189</v>
      </c>
      <c r="R9" s="35" t="n">
        <f aca="false">-(R24-Q24)</f>
        <v>-0.133727605283656</v>
      </c>
      <c r="S9" s="35" t="n">
        <f aca="false">-(S24-R24)</f>
        <v>-0.147487881599054</v>
      </c>
      <c r="T9" s="35" t="n">
        <f aca="false">-(T24-S24)</f>
        <v>-0.162394567249386</v>
      </c>
      <c r="U9" s="35" t="n">
        <f aca="false">-(U24-T24)</f>
        <v>-0.178526702021439</v>
      </c>
      <c r="V9" s="35" t="n">
        <f aca="false">-(V24-U24)</f>
        <v>-0.195967835806193</v>
      </c>
      <c r="W9" s="35" t="n">
        <f aca="false">-(W24-V24)</f>
        <v>-0.214806251510896</v>
      </c>
      <c r="X9" s="35" t="n">
        <f aca="false">-(X24-W24)</f>
        <v>-0.235135200484228</v>
      </c>
      <c r="Y9" s="35" t="n">
        <f aca="false">-(Y24-X24)</f>
        <v>-0.25705315156931</v>
      </c>
      <c r="Z9" s="35" t="n">
        <f aca="false">-(Z24-Y24)</f>
        <v>-0.280664055012925</v>
      </c>
      <c r="AA9" s="35" t="n">
        <f aca="false">-(AA24-Z24)</f>
        <v>-0.306077622581733</v>
      </c>
      <c r="AB9" s="35" t="n">
        <f aca="false">-(AB24-AA24)</f>
        <v>-0.333409625368308</v>
      </c>
      <c r="AC9" s="35" t="n">
        <f aca="false">-(AC24-AB24)</f>
        <v>-0.362782210911498</v>
      </c>
      <c r="AD9" s="35" t="n">
        <f aca="false">-(AD24-AC24)</f>
        <v>-0.394324241407873</v>
      </c>
      <c r="AE9" s="35" t="n">
        <f aca="false">-(AE24-AD24)</f>
        <v>-0.428171654953985</v>
      </c>
      <c r="AF9" s="35" t="n">
        <f aca="false">-(AF24-AE24)</f>
        <v>-0.464467851933665</v>
      </c>
    </row>
    <row r="10" customFormat="false" ht="15" hidden="false" customHeight="false" outlineLevel="0" collapsed="false">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row>
    <row r="11" customFormat="false" ht="15" hidden="false" customHeight="false" outlineLevel="0" collapsed="false">
      <c r="A11" s="6"/>
      <c r="B11" s="39" t="s">
        <v>160</v>
      </c>
      <c r="C11" s="40" t="n">
        <f aca="false">C7+C8+C9</f>
        <v>-4.10944852568493</v>
      </c>
      <c r="D11" s="40" t="n">
        <f aca="false">D7+D8+D9</f>
        <v>-3.96793260617219</v>
      </c>
      <c r="E11" s="40" t="n">
        <f aca="false">E7+E8+E9</f>
        <v>-3.79096122321425</v>
      </c>
      <c r="F11" s="40" t="n">
        <f aca="false">F7+F8+F9</f>
        <v>-3.57533658742654</v>
      </c>
      <c r="G11" s="40" t="n">
        <f aca="false">G7+G8+G9</f>
        <v>-3.31687098407767</v>
      </c>
      <c r="H11" s="40" t="n">
        <f aca="false">H7+H8+H9</f>
        <v>-3.01102941717072</v>
      </c>
      <c r="I11" s="40" t="n">
        <f aca="false">I7+I8+I9</f>
        <v>-2.6529066276556</v>
      </c>
      <c r="J11" s="40" t="n">
        <f aca="false">J7+J8+J9</f>
        <v>-2.23720292581081</v>
      </c>
      <c r="K11" s="40" t="n">
        <f aca="false">K7+K8+K9</f>
        <v>-1.75819878956817</v>
      </c>
      <c r="L11" s="40" t="n">
        <f aca="false">L7+L8+L9</f>
        <v>-1.20972817800465</v>
      </c>
      <c r="M11" s="40" t="n">
        <f aca="false">M7+M8+M9</f>
        <v>-0.585150506358706</v>
      </c>
      <c r="N11" s="40" t="n">
        <f aca="false">N7+N8+N9</f>
        <v>0.119830055113615</v>
      </c>
      <c r="O11" s="40" t="n">
        <f aca="false">O7+O8+O9</f>
        <v>0.716429759947183</v>
      </c>
      <c r="P11" s="40" t="n">
        <f aca="false">P7+P8+P9</f>
        <v>1.38719486374632</v>
      </c>
      <c r="Q11" s="40" t="n">
        <f aca="false">Q7+Q8+Q9</f>
        <v>2.13874550028016</v>
      </c>
      <c r="R11" s="40" t="n">
        <f aca="false">R7+R8+R9</f>
        <v>2.97817852647797</v>
      </c>
      <c r="S11" s="40" t="n">
        <f aca="false">S7+S8+S9</f>
        <v>3.91309552183183</v>
      </c>
      <c r="T11" s="40" t="n">
        <f aca="false">T7+T8+T9</f>
        <v>4.951632157885</v>
      </c>
      <c r="U11" s="40" t="n">
        <f aca="false">U7+U8+U9</f>
        <v>6.10248900759584</v>
      </c>
      <c r="V11" s="40" t="n">
        <f aca="false">V7+V8+V9</f>
        <v>7.37496387023345</v>
      </c>
      <c r="W11" s="40" t="n">
        <f aca="false">W7+W8+W9</f>
        <v>8.77898569396502</v>
      </c>
      <c r="X11" s="40" t="n">
        <f aca="false">X7+X8+X9</f>
        <v>10.3251501854913</v>
      </c>
      <c r="Y11" s="40" t="n">
        <f aca="false">Y7+Y8+Y9</f>
        <v>12.0247572040341</v>
      </c>
      <c r="Z11" s="40" t="n">
        <f aca="false">Z7+Z8+Z9</f>
        <v>13.8898500457383</v>
      </c>
      <c r="AA11" s="40" t="n">
        <f aca="false">AA7+AA8+AA9</f>
        <v>15.9332567341875</v>
      </c>
      <c r="AB11" s="40" t="n">
        <f aca="false">AB7+AB8+AB9</f>
        <v>18.1686334433088</v>
      </c>
      <c r="AC11" s="40" t="n">
        <f aca="false">AC7+AC8+AC9</f>
        <v>20.6105101905376</v>
      </c>
      <c r="AD11" s="40" t="n">
        <f aca="false">AD7+AD8+AD9</f>
        <v>23.2743389507945</v>
      </c>
      <c r="AE11" s="40" t="n">
        <f aca="false">AE7+AE8+AE9</f>
        <v>26.176544355675</v>
      </c>
      <c r="AF11" s="40" t="n">
        <f aca="false">AF7+AF8+AF9</f>
        <v>29.3345771573496</v>
      </c>
    </row>
    <row r="12" customFormat="false" ht="15" hidden="false" customHeight="false" outlineLevel="0" collapsed="false">
      <c r="A12" s="6"/>
      <c r="B12" s="23" t="s">
        <v>161</v>
      </c>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row>
    <row r="13" customFormat="false" ht="15" hidden="false" customHeight="false" outlineLevel="0" collapsed="false">
      <c r="A13" s="6"/>
      <c r="B13" s="38" t="s">
        <v>162</v>
      </c>
      <c r="C13" s="35" t="n">
        <f aca="false">-Depr_Amount</f>
        <v>-0.2</v>
      </c>
      <c r="D13" s="35" t="n">
        <f aca="false">-Depr_Amount</f>
        <v>-0.2</v>
      </c>
      <c r="E13" s="35" t="n">
        <f aca="false">-Depr_Amount</f>
        <v>-0.2</v>
      </c>
      <c r="F13" s="35" t="n">
        <f aca="false">-Depr_Amount</f>
        <v>-0.2</v>
      </c>
      <c r="G13" s="35" t="n">
        <f aca="false">-Depr_Amount</f>
        <v>-0.2</v>
      </c>
      <c r="H13" s="35" t="n">
        <f aca="false">-Depr_Amount</f>
        <v>-0.2</v>
      </c>
      <c r="I13" s="35" t="n">
        <f aca="false">-Depr_Amount</f>
        <v>-0.2</v>
      </c>
      <c r="J13" s="35" t="n">
        <f aca="false">-Depr_Amount</f>
        <v>-0.2</v>
      </c>
      <c r="K13" s="35" t="n">
        <f aca="false">-Depr_Amount</f>
        <v>-0.2</v>
      </c>
      <c r="L13" s="35" t="n">
        <f aca="false">-Depr_Amount</f>
        <v>-0.2</v>
      </c>
      <c r="M13" s="35" t="n">
        <f aca="false">-Depr_Amount</f>
        <v>-0.2</v>
      </c>
      <c r="N13" s="35" t="n">
        <f aca="false">-Depr_Amount</f>
        <v>-0.2</v>
      </c>
      <c r="O13" s="35" t="n">
        <f aca="false">-Depr_Amount</f>
        <v>-0.2</v>
      </c>
      <c r="P13" s="35" t="n">
        <f aca="false">-Depr_Amount</f>
        <v>-0.2</v>
      </c>
      <c r="Q13" s="35" t="n">
        <f aca="false">-Depr_Amount</f>
        <v>-0.2</v>
      </c>
      <c r="R13" s="35" t="n">
        <f aca="false">-Depr_Amount</f>
        <v>-0.2</v>
      </c>
      <c r="S13" s="35" t="n">
        <f aca="false">-Depr_Amount</f>
        <v>-0.2</v>
      </c>
      <c r="T13" s="35" t="n">
        <f aca="false">-Depr_Amount</f>
        <v>-0.2</v>
      </c>
      <c r="U13" s="35" t="n">
        <f aca="false">-Depr_Amount</f>
        <v>-0.2</v>
      </c>
      <c r="V13" s="35" t="n">
        <f aca="false">-Depr_Amount</f>
        <v>-0.2</v>
      </c>
      <c r="W13" s="35" t="n">
        <f aca="false">-Depr_Amount</f>
        <v>-0.2</v>
      </c>
      <c r="X13" s="35" t="n">
        <f aca="false">-Depr_Amount</f>
        <v>-0.2</v>
      </c>
      <c r="Y13" s="35" t="n">
        <f aca="false">-Depr_Amount</f>
        <v>-0.2</v>
      </c>
      <c r="Z13" s="35" t="n">
        <f aca="false">-Depr_Amount</f>
        <v>-0.2</v>
      </c>
      <c r="AA13" s="35" t="n">
        <f aca="false">-Depr_Amount</f>
        <v>-0.2</v>
      </c>
      <c r="AB13" s="35" t="n">
        <f aca="false">-Depr_Amount</f>
        <v>-0.2</v>
      </c>
      <c r="AC13" s="35" t="n">
        <f aca="false">-Depr_Amount</f>
        <v>-0.2</v>
      </c>
      <c r="AD13" s="35" t="n">
        <f aca="false">-Depr_Amount</f>
        <v>-0.2</v>
      </c>
      <c r="AE13" s="35" t="n">
        <f aca="false">-Depr_Amount</f>
        <v>-0.2</v>
      </c>
      <c r="AF13" s="35" t="n">
        <f aca="false">-Depr_Amount</f>
        <v>-0.2</v>
      </c>
    </row>
    <row r="14" customFormat="false" ht="15" hidden="false" customHeight="false" outlineLevel="0" collapsed="false">
      <c r="A14" s="6"/>
      <c r="B14" s="38" t="s">
        <v>163</v>
      </c>
      <c r="C14" s="35" t="n">
        <f aca="false">0</f>
        <v>0</v>
      </c>
      <c r="D14" s="35" t="n">
        <f aca="false">0</f>
        <v>0</v>
      </c>
      <c r="E14" s="35" t="n">
        <f aca="false">0</f>
        <v>0</v>
      </c>
      <c r="F14" s="35" t="n">
        <f aca="false">0</f>
        <v>0</v>
      </c>
      <c r="G14" s="35" t="n">
        <f aca="false">0</f>
        <v>0</v>
      </c>
      <c r="H14" s="35" t="n">
        <f aca="false">0</f>
        <v>0</v>
      </c>
      <c r="I14" s="35" t="n">
        <f aca="false">0</f>
        <v>0</v>
      </c>
      <c r="J14" s="35" t="n">
        <f aca="false">0</f>
        <v>0</v>
      </c>
      <c r="K14" s="35" t="n">
        <f aca="false">0</f>
        <v>0</v>
      </c>
      <c r="L14" s="35" t="n">
        <f aca="false">0</f>
        <v>0</v>
      </c>
      <c r="M14" s="35" t="n">
        <f aca="false">0</f>
        <v>0</v>
      </c>
      <c r="N14" s="35" t="n">
        <f aca="false">0</f>
        <v>0</v>
      </c>
      <c r="O14" s="35" t="n">
        <f aca="false">0</f>
        <v>0</v>
      </c>
      <c r="P14" s="35" t="n">
        <f aca="false">0</f>
        <v>0</v>
      </c>
      <c r="Q14" s="35" t="n">
        <f aca="false">0</f>
        <v>0</v>
      </c>
      <c r="R14" s="35" t="n">
        <f aca="false">0</f>
        <v>0</v>
      </c>
      <c r="S14" s="35" t="n">
        <f aca="false">0</f>
        <v>0</v>
      </c>
      <c r="T14" s="35" t="n">
        <f aca="false">0</f>
        <v>0</v>
      </c>
      <c r="U14" s="35" t="n">
        <f aca="false">0</f>
        <v>0</v>
      </c>
      <c r="V14" s="35" t="n">
        <f aca="false">0</f>
        <v>0</v>
      </c>
      <c r="W14" s="35" t="n">
        <f aca="false">0</f>
        <v>0</v>
      </c>
      <c r="X14" s="35" t="n">
        <f aca="false">0</f>
        <v>0</v>
      </c>
      <c r="Y14" s="35" t="n">
        <f aca="false">0</f>
        <v>0</v>
      </c>
      <c r="Z14" s="35" t="n">
        <f aca="false">0</f>
        <v>0</v>
      </c>
      <c r="AA14" s="35" t="n">
        <f aca="false">0</f>
        <v>0</v>
      </c>
      <c r="AB14" s="35" t="n">
        <f aca="false">0</f>
        <v>0</v>
      </c>
      <c r="AC14" s="35" t="n">
        <f aca="false">0</f>
        <v>0</v>
      </c>
      <c r="AD14" s="35" t="n">
        <f aca="false">0</f>
        <v>0</v>
      </c>
      <c r="AE14" s="35" t="n">
        <f aca="false">0</f>
        <v>0</v>
      </c>
      <c r="AF14" s="35" t="n">
        <f aca="false">0</f>
        <v>0</v>
      </c>
    </row>
    <row r="15" customFormat="false" ht="15" hidden="false" customHeight="false" outlineLevel="0" collapsed="false">
      <c r="A15" s="6"/>
      <c r="B15" s="39" t="s">
        <v>164</v>
      </c>
      <c r="C15" s="40" t="n">
        <f aca="false">C13+C14</f>
        <v>-0.2</v>
      </c>
      <c r="D15" s="40" t="n">
        <f aca="false">D13+D14</f>
        <v>-0.2</v>
      </c>
      <c r="E15" s="40" t="n">
        <f aca="false">E13+E14</f>
        <v>-0.2</v>
      </c>
      <c r="F15" s="40" t="n">
        <f aca="false">F13+F14</f>
        <v>-0.2</v>
      </c>
      <c r="G15" s="40" t="n">
        <f aca="false">G13+G14</f>
        <v>-0.2</v>
      </c>
      <c r="H15" s="40" t="n">
        <f aca="false">H13+H14</f>
        <v>-0.2</v>
      </c>
      <c r="I15" s="40" t="n">
        <f aca="false">I13+I14</f>
        <v>-0.2</v>
      </c>
      <c r="J15" s="40" t="n">
        <f aca="false">J13+J14</f>
        <v>-0.2</v>
      </c>
      <c r="K15" s="40" t="n">
        <f aca="false">K13+K14</f>
        <v>-0.2</v>
      </c>
      <c r="L15" s="40" t="n">
        <f aca="false">L13+L14</f>
        <v>-0.2</v>
      </c>
      <c r="M15" s="40" t="n">
        <f aca="false">M13+M14</f>
        <v>-0.2</v>
      </c>
      <c r="N15" s="40" t="n">
        <f aca="false">N13+N14</f>
        <v>-0.2</v>
      </c>
      <c r="O15" s="40" t="n">
        <f aca="false">O13+O14</f>
        <v>-0.2</v>
      </c>
      <c r="P15" s="40" t="n">
        <f aca="false">P13+P14</f>
        <v>-0.2</v>
      </c>
      <c r="Q15" s="40" t="n">
        <f aca="false">Q13+Q14</f>
        <v>-0.2</v>
      </c>
      <c r="R15" s="40" t="n">
        <f aca="false">R13+R14</f>
        <v>-0.2</v>
      </c>
      <c r="S15" s="40" t="n">
        <f aca="false">S13+S14</f>
        <v>-0.2</v>
      </c>
      <c r="T15" s="40" t="n">
        <f aca="false">T13+T14</f>
        <v>-0.2</v>
      </c>
      <c r="U15" s="40" t="n">
        <f aca="false">U13+U14</f>
        <v>-0.2</v>
      </c>
      <c r="V15" s="40" t="n">
        <f aca="false">V13+V14</f>
        <v>-0.2</v>
      </c>
      <c r="W15" s="40" t="n">
        <f aca="false">W13+W14</f>
        <v>-0.2</v>
      </c>
      <c r="X15" s="40" t="n">
        <f aca="false">X13+X14</f>
        <v>-0.2</v>
      </c>
      <c r="Y15" s="40" t="n">
        <f aca="false">Y13+Y14</f>
        <v>-0.2</v>
      </c>
      <c r="Z15" s="40" t="n">
        <f aca="false">Z13+Z14</f>
        <v>-0.2</v>
      </c>
      <c r="AA15" s="40" t="n">
        <f aca="false">AA13+AA14</f>
        <v>-0.2</v>
      </c>
      <c r="AB15" s="40" t="n">
        <f aca="false">AB13+AB14</f>
        <v>-0.2</v>
      </c>
      <c r="AC15" s="40" t="n">
        <f aca="false">AC13+AC14</f>
        <v>-0.2</v>
      </c>
      <c r="AD15" s="40" t="n">
        <f aca="false">AD13+AD14</f>
        <v>-0.2</v>
      </c>
      <c r="AE15" s="40" t="n">
        <f aca="false">AE13+AE14</f>
        <v>-0.2</v>
      </c>
      <c r="AF15" s="40" t="n">
        <f aca="false">AF13+AF14</f>
        <v>-0.2</v>
      </c>
    </row>
    <row r="16" customFormat="false" ht="15" hidden="false" customHeight="false" outlineLevel="0" collapsed="false">
      <c r="A16" s="6"/>
      <c r="B16" s="23" t="s">
        <v>165</v>
      </c>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row>
    <row r="17" customFormat="false" ht="15" hidden="false" customHeight="false" outlineLevel="0" collapsed="false">
      <c r="A17" s="6"/>
      <c r="B17" s="38" t="s">
        <v>166</v>
      </c>
      <c r="C17" s="35" t="n">
        <f aca="false">-MAX(0,IS_Net_Income*Payout_Ratio)</f>
        <v>-0</v>
      </c>
      <c r="D17" s="35" t="n">
        <f aca="false">-MAX(0,IS_Net_Income*Payout_Ratio)</f>
        <v>-0</v>
      </c>
      <c r="E17" s="35" t="n">
        <f aca="false">-MAX(0,IS_Net_Income*Payout_Ratio)</f>
        <v>-0</v>
      </c>
      <c r="F17" s="35" t="n">
        <f aca="false">-MAX(0,IS_Net_Income*Payout_Ratio)</f>
        <v>-0</v>
      </c>
      <c r="G17" s="35" t="n">
        <f aca="false">-MAX(0,IS_Net_Income*Payout_Ratio)</f>
        <v>-0</v>
      </c>
      <c r="H17" s="35" t="n">
        <f aca="false">-MAX(0,IS_Net_Income*Payout_Ratio)</f>
        <v>-0</v>
      </c>
      <c r="I17" s="35" t="n">
        <f aca="false">-MAX(0,IS_Net_Income*Payout_Ratio)</f>
        <v>-0</v>
      </c>
      <c r="J17" s="35" t="n">
        <f aca="false">-MAX(0,IS_Net_Income*Payout_Ratio)</f>
        <v>-0</v>
      </c>
      <c r="K17" s="35" t="n">
        <f aca="false">-MAX(0,IS_Net_Income*Payout_Ratio)</f>
        <v>-0</v>
      </c>
      <c r="L17" s="35" t="n">
        <f aca="false">-MAX(0,IS_Net_Income*Payout_Ratio)</f>
        <v>-0</v>
      </c>
      <c r="M17" s="35" t="n">
        <f aca="false">-MAX(0,IS_Net_Income*Payout_Ratio)</f>
        <v>-0</v>
      </c>
      <c r="N17" s="35" t="n">
        <f aca="false">-MAX(0,IS_Net_Income*Payout_Ratio)</f>
        <v>-0.00512769452363509</v>
      </c>
      <c r="O17" s="35" t="n">
        <f aca="false">-MAX(0,IS_Net_Income*Payout_Ratio)</f>
        <v>-0.369016727830264</v>
      </c>
      <c r="P17" s="35" t="n">
        <f aca="false">-MAX(0,IS_Net_Income*Payout_Ratio)</f>
        <v>-0.777927766749684</v>
      </c>
      <c r="Q17" s="35" t="n">
        <f aca="false">-MAX(0,IS_Net_Income*Payout_Ratio)</f>
        <v>-1.23587069849523</v>
      </c>
      <c r="R17" s="35" t="n">
        <f aca="false">-MAX(0,IS_Net_Income*Payout_Ratio)</f>
        <v>-1.74714367905697</v>
      </c>
      <c r="S17" s="35" t="n">
        <f aca="false">-MAX(0,IS_Net_Income*Payout_Ratio)</f>
        <v>-2.31635004205853</v>
      </c>
      <c r="T17" s="35" t="n">
        <f aca="false">-MAX(0,IS_Net_Income*Payout_Ratio)</f>
        <v>-2.94841603508063</v>
      </c>
      <c r="U17" s="35" t="n">
        <f aca="false">-MAX(0,IS_Net_Income*Payout_Ratio)</f>
        <v>-3.64860942577037</v>
      </c>
      <c r="V17" s="35" t="n">
        <f aca="false">-MAX(0,IS_Net_Income*Payout_Ratio)</f>
        <v>-4.42255902362378</v>
      </c>
      <c r="W17" s="35" t="n">
        <f aca="false">-MAX(0,IS_Net_Income*Payout_Ratio)</f>
        <v>-5.27627516728555</v>
      </c>
      <c r="X17" s="35" t="n">
        <f aca="false">-MAX(0,IS_Net_Income*Payout_Ratio)</f>
        <v>-6.21617123158533</v>
      </c>
      <c r="Y17" s="35" t="n">
        <f aca="false">-MAX(0,IS_Net_Income*Payout_Ratio)</f>
        <v>-7.24908621336203</v>
      </c>
      <c r="Z17" s="35" t="n">
        <f aca="false">-MAX(0,IS_Net_Income*Payout_Ratio)</f>
        <v>-8.38230846045074</v>
      </c>
      <c r="AA17" s="35" t="n">
        <f aca="false">-MAX(0,IS_Net_Income*Payout_Ratio)</f>
        <v>-9.62360061406155</v>
      </c>
      <c r="AB17" s="35" t="n">
        <f aca="false">-MAX(0,IS_Net_Income*Payout_Ratio)</f>
        <v>-10.9812258412063</v>
      </c>
      <c r="AC17" s="35" t="n">
        <f aca="false">-MAX(0,IS_Net_Income*Payout_Ratio)</f>
        <v>-12.4639754408694</v>
      </c>
      <c r="AD17" s="35" t="n">
        <f aca="false">-MAX(0,IS_Net_Income*Payout_Ratio)</f>
        <v>-14.0811979153215</v>
      </c>
      <c r="AE17" s="35" t="n">
        <f aca="false">-MAX(0,IS_Net_Income*Payout_Ratio)</f>
        <v>-15.8428296063774</v>
      </c>
      <c r="AF17" s="35" t="n">
        <f aca="false">-MAX(0,IS_Net_Income*Payout_Ratio)</f>
        <v>-17.75942700557</v>
      </c>
    </row>
    <row r="18" customFormat="false" ht="15" hidden="false" customHeight="false" outlineLevel="0" collapsed="false">
      <c r="A18" s="6"/>
      <c r="B18" s="38" t="s">
        <v>167</v>
      </c>
      <c r="C18" s="35" t="n">
        <f aca="false">0</f>
        <v>0</v>
      </c>
      <c r="D18" s="35" t="n">
        <f aca="false">0</f>
        <v>0</v>
      </c>
      <c r="E18" s="35" t="n">
        <f aca="false">0</f>
        <v>0</v>
      </c>
      <c r="F18" s="35" t="n">
        <f aca="false">0</f>
        <v>0</v>
      </c>
      <c r="G18" s="35" t="n">
        <f aca="false">0</f>
        <v>0</v>
      </c>
      <c r="H18" s="35" t="n">
        <f aca="false">0</f>
        <v>0</v>
      </c>
      <c r="I18" s="35" t="n">
        <f aca="false">0</f>
        <v>0</v>
      </c>
      <c r="J18" s="35" t="n">
        <f aca="false">0</f>
        <v>0</v>
      </c>
      <c r="K18" s="35" t="n">
        <f aca="false">0</f>
        <v>0</v>
      </c>
      <c r="L18" s="35" t="n">
        <f aca="false">0</f>
        <v>0</v>
      </c>
      <c r="M18" s="35" t="n">
        <f aca="false">0</f>
        <v>0</v>
      </c>
      <c r="N18" s="35" t="n">
        <f aca="false">0</f>
        <v>0</v>
      </c>
      <c r="O18" s="35" t="n">
        <f aca="false">0</f>
        <v>0</v>
      </c>
      <c r="P18" s="35" t="n">
        <f aca="false">0</f>
        <v>0</v>
      </c>
      <c r="Q18" s="35" t="n">
        <f aca="false">0</f>
        <v>0</v>
      </c>
      <c r="R18" s="35" t="n">
        <f aca="false">0</f>
        <v>0</v>
      </c>
      <c r="S18" s="35" t="n">
        <f aca="false">0</f>
        <v>0</v>
      </c>
      <c r="T18" s="35" t="n">
        <f aca="false">0</f>
        <v>0</v>
      </c>
      <c r="U18" s="35" t="n">
        <f aca="false">0</f>
        <v>0</v>
      </c>
      <c r="V18" s="35" t="n">
        <f aca="false">0</f>
        <v>0</v>
      </c>
      <c r="W18" s="35" t="n">
        <f aca="false">0</f>
        <v>0</v>
      </c>
      <c r="X18" s="35" t="n">
        <f aca="false">0</f>
        <v>0</v>
      </c>
      <c r="Y18" s="35" t="n">
        <f aca="false">0</f>
        <v>0</v>
      </c>
      <c r="Z18" s="35" t="n">
        <f aca="false">0</f>
        <v>0</v>
      </c>
      <c r="AA18" s="35" t="n">
        <f aca="false">0</f>
        <v>0</v>
      </c>
      <c r="AB18" s="35" t="n">
        <f aca="false">0</f>
        <v>0</v>
      </c>
      <c r="AC18" s="35" t="n">
        <f aca="false">0</f>
        <v>0</v>
      </c>
      <c r="AD18" s="35" t="n">
        <f aca="false">0</f>
        <v>0</v>
      </c>
      <c r="AE18" s="35" t="n">
        <f aca="false">0</f>
        <v>0</v>
      </c>
      <c r="AF18" s="35" t="n">
        <f aca="false">0</f>
        <v>0</v>
      </c>
    </row>
    <row r="19" customFormat="false" ht="15" hidden="false" customHeight="false" outlineLevel="0" collapsed="false">
      <c r="A19" s="6"/>
      <c r="B19" s="39" t="s">
        <v>168</v>
      </c>
      <c r="C19" s="40" t="n">
        <f aca="false">C17+C18</f>
        <v>0</v>
      </c>
      <c r="D19" s="40" t="n">
        <f aca="false">D17+D18</f>
        <v>0</v>
      </c>
      <c r="E19" s="40" t="n">
        <f aca="false">E17+E18</f>
        <v>0</v>
      </c>
      <c r="F19" s="40" t="n">
        <f aca="false">F17+F18</f>
        <v>0</v>
      </c>
      <c r="G19" s="40" t="n">
        <f aca="false">G17+G18</f>
        <v>0</v>
      </c>
      <c r="H19" s="40" t="n">
        <f aca="false">H17+H18</f>
        <v>0</v>
      </c>
      <c r="I19" s="40" t="n">
        <f aca="false">I17+I18</f>
        <v>0</v>
      </c>
      <c r="J19" s="40" t="n">
        <f aca="false">J17+J18</f>
        <v>0</v>
      </c>
      <c r="K19" s="40" t="n">
        <f aca="false">K17+K18</f>
        <v>0</v>
      </c>
      <c r="L19" s="40" t="n">
        <f aca="false">L17+L18</f>
        <v>0</v>
      </c>
      <c r="M19" s="40" t="n">
        <f aca="false">M17+M18</f>
        <v>0</v>
      </c>
      <c r="N19" s="40" t="n">
        <f aca="false">N17+N18</f>
        <v>-0.00512769452363509</v>
      </c>
      <c r="O19" s="40" t="n">
        <f aca="false">O17+O18</f>
        <v>-0.369016727830264</v>
      </c>
      <c r="P19" s="40" t="n">
        <f aca="false">P17+P18</f>
        <v>-0.777927766749684</v>
      </c>
      <c r="Q19" s="40" t="n">
        <f aca="false">Q17+Q18</f>
        <v>-1.23587069849523</v>
      </c>
      <c r="R19" s="40" t="n">
        <f aca="false">R17+R18</f>
        <v>-1.74714367905697</v>
      </c>
      <c r="S19" s="40" t="n">
        <f aca="false">S17+S18</f>
        <v>-2.31635004205853</v>
      </c>
      <c r="T19" s="40" t="n">
        <f aca="false">T17+T18</f>
        <v>-2.94841603508063</v>
      </c>
      <c r="U19" s="40" t="n">
        <f aca="false">U17+U18</f>
        <v>-3.64860942577037</v>
      </c>
      <c r="V19" s="40" t="n">
        <f aca="false">V17+V18</f>
        <v>-4.42255902362378</v>
      </c>
      <c r="W19" s="40" t="n">
        <f aca="false">W17+W18</f>
        <v>-5.27627516728555</v>
      </c>
      <c r="X19" s="40" t="n">
        <f aca="false">X17+X18</f>
        <v>-6.21617123158533</v>
      </c>
      <c r="Y19" s="40" t="n">
        <f aca="false">Y17+Y18</f>
        <v>-7.24908621336203</v>
      </c>
      <c r="Z19" s="40" t="n">
        <f aca="false">Z17+Z18</f>
        <v>-8.38230846045074</v>
      </c>
      <c r="AA19" s="40" t="n">
        <f aca="false">AA17+AA18</f>
        <v>-9.62360061406155</v>
      </c>
      <c r="AB19" s="40" t="n">
        <f aca="false">AB17+AB18</f>
        <v>-10.9812258412063</v>
      </c>
      <c r="AC19" s="40" t="n">
        <f aca="false">AC17+AC18</f>
        <v>-12.4639754408694</v>
      </c>
      <c r="AD19" s="40" t="n">
        <f aca="false">AD17+AD18</f>
        <v>-14.0811979153215</v>
      </c>
      <c r="AE19" s="40" t="n">
        <f aca="false">AE17+AE18</f>
        <v>-15.8428296063774</v>
      </c>
      <c r="AF19" s="40" t="n">
        <f aca="false">AF17+AF18</f>
        <v>-17.75942700557</v>
      </c>
    </row>
    <row r="20" customFormat="false" ht="15" hidden="false" customHeight="false" outlineLevel="0" collapsed="false">
      <c r="A20" s="6"/>
      <c r="B20" s="23" t="s">
        <v>169</v>
      </c>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row>
    <row r="21" customFormat="false" ht="15" hidden="false" customHeight="false" outlineLevel="0" collapsed="false">
      <c r="A21" s="6"/>
      <c r="B21" s="7" t="s">
        <v>170</v>
      </c>
      <c r="C21" s="41" t="n">
        <f aca="false">C11+C15+C19</f>
        <v>-4.30944852568493</v>
      </c>
      <c r="D21" s="41" t="n">
        <f aca="false">D11+D15+D19</f>
        <v>-4.16793260617219</v>
      </c>
      <c r="E21" s="41" t="n">
        <f aca="false">E11+E15+E19</f>
        <v>-3.99096122321425</v>
      </c>
      <c r="F21" s="41" t="n">
        <f aca="false">F11+F15+F19</f>
        <v>-3.77533658742654</v>
      </c>
      <c r="G21" s="41" t="n">
        <f aca="false">G11+G15+G19</f>
        <v>-3.51687098407767</v>
      </c>
      <c r="H21" s="41" t="n">
        <f aca="false">H11+H15+H19</f>
        <v>-3.21102941717072</v>
      </c>
      <c r="I21" s="41" t="n">
        <f aca="false">I11+I15+I19</f>
        <v>-2.8529066276556</v>
      </c>
      <c r="J21" s="41" t="n">
        <f aca="false">J11+J15+J19</f>
        <v>-2.43720292581081</v>
      </c>
      <c r="K21" s="41" t="n">
        <f aca="false">K11+K15+K19</f>
        <v>-1.95819878956817</v>
      </c>
      <c r="L21" s="41" t="n">
        <f aca="false">L11+L15+L19</f>
        <v>-1.40972817800465</v>
      </c>
      <c r="M21" s="41" t="n">
        <f aca="false">M11+M15+M19</f>
        <v>-0.785150506358705</v>
      </c>
      <c r="N21" s="41" t="n">
        <f aca="false">N11+N15+N19</f>
        <v>-0.0852976394100203</v>
      </c>
      <c r="O21" s="41" t="n">
        <f aca="false">O11+O15+O19</f>
        <v>0.147413032116919</v>
      </c>
      <c r="P21" s="41" t="n">
        <f aca="false">P11+P15+P19</f>
        <v>0.409267096996632</v>
      </c>
      <c r="Q21" s="41" t="n">
        <f aca="false">Q11+Q15+Q19</f>
        <v>0.702874801784931</v>
      </c>
      <c r="R21" s="41" t="n">
        <f aca="false">R11+R15+R19</f>
        <v>1.03103484742099</v>
      </c>
      <c r="S21" s="41" t="n">
        <f aca="false">S11+S15+S19</f>
        <v>1.3967454797733</v>
      </c>
      <c r="T21" s="41" t="n">
        <f aca="false">T11+T15+T19</f>
        <v>1.80321612280437</v>
      </c>
      <c r="U21" s="41" t="n">
        <f aca="false">U11+U15+U19</f>
        <v>2.25387958182547</v>
      </c>
      <c r="V21" s="41" t="n">
        <f aca="false">V11+V15+V19</f>
        <v>2.75240484660966</v>
      </c>
      <c r="W21" s="41" t="n">
        <f aca="false">W11+W15+W19</f>
        <v>3.30271052667947</v>
      </c>
      <c r="X21" s="41" t="n">
        <f aca="false">X11+X15+X19</f>
        <v>3.90897895390599</v>
      </c>
      <c r="Y21" s="41" t="n">
        <f aca="false">Y11+Y15+Y19</f>
        <v>4.57567099067204</v>
      </c>
      <c r="Z21" s="41" t="n">
        <f aca="false">Z11+Z15+Z19</f>
        <v>5.30754158528757</v>
      </c>
      <c r="AA21" s="41" t="n">
        <f aca="false">AA11+AA15+AA19</f>
        <v>6.10965612012597</v>
      </c>
      <c r="AB21" s="41" t="n">
        <f aca="false">AB11+AB15+AB19</f>
        <v>6.98740760210253</v>
      </c>
      <c r="AC21" s="41" t="n">
        <f aca="false">AC11+AC15+AC19</f>
        <v>7.94653474966813</v>
      </c>
      <c r="AD21" s="41" t="n">
        <f aca="false">AD11+AD15+AD19</f>
        <v>8.9931410354731</v>
      </c>
      <c r="AE21" s="41" t="n">
        <f aca="false">AE11+AE15+AE19</f>
        <v>10.1337147492976</v>
      </c>
      <c r="AF21" s="41" t="n">
        <f aca="false">AF11+AF15+AF19</f>
        <v>11.3751501517797</v>
      </c>
    </row>
    <row r="22" customFormat="false" ht="15" hidden="false" customHeight="false" outlineLevel="0" collapsed="false">
      <c r="A22" s="6"/>
      <c r="B22" s="10" t="s">
        <v>171</v>
      </c>
      <c r="C22" s="35" t="n">
        <f aca="false">0</f>
        <v>0</v>
      </c>
      <c r="D22" s="35" t="n">
        <f aca="false">C23</f>
        <v>-4.30944852568493</v>
      </c>
      <c r="E22" s="35" t="n">
        <f aca="false">D23</f>
        <v>-8.47738113185712</v>
      </c>
      <c r="F22" s="35" t="n">
        <f aca="false">E23</f>
        <v>-12.4683423550714</v>
      </c>
      <c r="G22" s="35" t="n">
        <f aca="false">F23</f>
        <v>-16.2436789424979</v>
      </c>
      <c r="H22" s="35" t="n">
        <f aca="false">G23</f>
        <v>-19.7605499265756</v>
      </c>
      <c r="I22" s="35" t="n">
        <f aca="false">H23</f>
        <v>-22.9715793437463</v>
      </c>
      <c r="J22" s="35" t="n">
        <f aca="false">I23</f>
        <v>-25.8244859714019</v>
      </c>
      <c r="K22" s="35" t="n">
        <f aca="false">J23</f>
        <v>-28.2616888972127</v>
      </c>
      <c r="L22" s="35" t="n">
        <f aca="false">K23</f>
        <v>-30.2198876867809</v>
      </c>
      <c r="M22" s="35" t="n">
        <f aca="false">L23</f>
        <v>-31.6296158647855</v>
      </c>
      <c r="N22" s="35" t="n">
        <f aca="false">M23</f>
        <v>-32.4147663711442</v>
      </c>
      <c r="O22" s="35" t="n">
        <f aca="false">N23</f>
        <v>-32.5000640105543</v>
      </c>
      <c r="P22" s="35" t="n">
        <f aca="false">O23</f>
        <v>-32.3526509784373</v>
      </c>
      <c r="Q22" s="35" t="n">
        <f aca="false">P23</f>
        <v>-31.9433838814407</v>
      </c>
      <c r="R22" s="35" t="n">
        <f aca="false">Q23</f>
        <v>-31.2405090796558</v>
      </c>
      <c r="S22" s="35" t="n">
        <f aca="false">R23</f>
        <v>-30.2094742322348</v>
      </c>
      <c r="T22" s="35" t="n">
        <f aca="false">S23</f>
        <v>-28.8127287524615</v>
      </c>
      <c r="U22" s="35" t="n">
        <f aca="false">T23</f>
        <v>-27.0095126296571</v>
      </c>
      <c r="V22" s="35" t="n">
        <f aca="false">U23</f>
        <v>-24.7556330478317</v>
      </c>
      <c r="W22" s="35" t="n">
        <f aca="false">V23</f>
        <v>-22.003228201222</v>
      </c>
      <c r="X22" s="35" t="n">
        <f aca="false">W23</f>
        <v>-18.7005176745425</v>
      </c>
      <c r="Y22" s="35" t="n">
        <f aca="false">X23</f>
        <v>-14.7915387206365</v>
      </c>
      <c r="Z22" s="35" t="n">
        <f aca="false">Y23</f>
        <v>-10.2158677299645</v>
      </c>
      <c r="AA22" s="35" t="n">
        <f aca="false">Z23</f>
        <v>-4.90832614467692</v>
      </c>
      <c r="AB22" s="35" t="n">
        <f aca="false">AA23</f>
        <v>1.20132997544905</v>
      </c>
      <c r="AC22" s="35" t="n">
        <f aca="false">AB23</f>
        <v>8.18873757755159</v>
      </c>
      <c r="AD22" s="35" t="n">
        <f aca="false">AC23</f>
        <v>16.1352723272197</v>
      </c>
      <c r="AE22" s="35" t="n">
        <f aca="false">AD23</f>
        <v>25.1284133626928</v>
      </c>
      <c r="AF22" s="35" t="n">
        <f aca="false">AE23</f>
        <v>35.2621281119904</v>
      </c>
    </row>
    <row r="23" customFormat="false" ht="15" hidden="false" customHeight="false" outlineLevel="0" collapsed="false">
      <c r="A23" s="6"/>
      <c r="B23" s="36" t="s">
        <v>172</v>
      </c>
      <c r="C23" s="37" t="n">
        <f aca="false">C22+C21</f>
        <v>-4.30944852568493</v>
      </c>
      <c r="D23" s="37" t="n">
        <f aca="false">D22+D21</f>
        <v>-8.47738113185712</v>
      </c>
      <c r="E23" s="37" t="n">
        <f aca="false">E22+E21</f>
        <v>-12.4683423550714</v>
      </c>
      <c r="F23" s="37" t="n">
        <f aca="false">F22+F21</f>
        <v>-16.2436789424979</v>
      </c>
      <c r="G23" s="37" t="n">
        <f aca="false">G22+G21</f>
        <v>-19.7605499265756</v>
      </c>
      <c r="H23" s="37" t="n">
        <f aca="false">H22+H21</f>
        <v>-22.9715793437463</v>
      </c>
      <c r="I23" s="37" t="n">
        <f aca="false">I22+I21</f>
        <v>-25.8244859714019</v>
      </c>
      <c r="J23" s="37" t="n">
        <f aca="false">J22+J21</f>
        <v>-28.2616888972127</v>
      </c>
      <c r="K23" s="37" t="n">
        <f aca="false">K22+K21</f>
        <v>-30.2198876867809</v>
      </c>
      <c r="L23" s="37" t="n">
        <f aca="false">L22+L21</f>
        <v>-31.6296158647855</v>
      </c>
      <c r="M23" s="37" t="n">
        <f aca="false">M22+M21</f>
        <v>-32.4147663711442</v>
      </c>
      <c r="N23" s="37" t="n">
        <f aca="false">N22+N21</f>
        <v>-32.5000640105543</v>
      </c>
      <c r="O23" s="37" t="n">
        <f aca="false">O22+O21</f>
        <v>-32.3526509784373</v>
      </c>
      <c r="P23" s="37" t="n">
        <f aca="false">P22+P21</f>
        <v>-31.9433838814407</v>
      </c>
      <c r="Q23" s="37" t="n">
        <f aca="false">Q22+Q21</f>
        <v>-31.2405090796558</v>
      </c>
      <c r="R23" s="37" t="n">
        <f aca="false">R22+R21</f>
        <v>-30.2094742322348</v>
      </c>
      <c r="S23" s="37" t="n">
        <f aca="false">S22+S21</f>
        <v>-28.8127287524615</v>
      </c>
      <c r="T23" s="37" t="n">
        <f aca="false">T22+T21</f>
        <v>-27.0095126296571</v>
      </c>
      <c r="U23" s="37" t="n">
        <f aca="false">U22+U21</f>
        <v>-24.7556330478317</v>
      </c>
      <c r="V23" s="37" t="n">
        <f aca="false">V22+V21</f>
        <v>-22.003228201222</v>
      </c>
      <c r="W23" s="37" t="n">
        <f aca="false">W22+W21</f>
        <v>-18.7005176745425</v>
      </c>
      <c r="X23" s="37" t="n">
        <f aca="false">X22+X21</f>
        <v>-14.7915387206365</v>
      </c>
      <c r="Y23" s="37" t="n">
        <f aca="false">Y22+Y21</f>
        <v>-10.2158677299645</v>
      </c>
      <c r="Z23" s="37" t="n">
        <f aca="false">Z22+Z21</f>
        <v>-4.90832614467692</v>
      </c>
      <c r="AA23" s="37" t="n">
        <f aca="false">AA22+AA21</f>
        <v>1.20132997544905</v>
      </c>
      <c r="AB23" s="37" t="n">
        <f aca="false">AB22+AB21</f>
        <v>8.18873757755159</v>
      </c>
      <c r="AC23" s="37" t="n">
        <f aca="false">AC22+AC21</f>
        <v>16.1352723272197</v>
      </c>
      <c r="AD23" s="37" t="n">
        <f aca="false">AD22+AD21</f>
        <v>25.1284133626928</v>
      </c>
      <c r="AE23" s="37" t="n">
        <f aca="false">AE22+AE21</f>
        <v>35.2621281119904</v>
      </c>
      <c r="AF23" s="37" t="n">
        <f aca="false">AF22+AF21</f>
        <v>46.6372782637701</v>
      </c>
    </row>
    <row r="24" customFormat="false" ht="15" hidden="false" customHeight="false" outlineLevel="0" collapsed="false">
      <c r="A24" s="6"/>
      <c r="B24" s="42" t="s">
        <v>173</v>
      </c>
      <c r="C24" s="43" t="n">
        <f aca="false">Rev_Total*(30/365)</f>
        <v>0.0220751506849315</v>
      </c>
      <c r="D24" s="43" t="n">
        <f aca="false">Rev_Total*(30/365)</f>
        <v>0.0483659557623288</v>
      </c>
      <c r="E24" s="43" t="n">
        <f aca="false">Rev_Total*(30/365)</f>
        <v>0.0785871972867032</v>
      </c>
      <c r="F24" s="43" t="n">
        <f aca="false">Rev_Total*(30/365)</f>
        <v>0.113150160902085</v>
      </c>
      <c r="G24" s="43" t="n">
        <f aca="false">Rev_Total*(30/365)</f>
        <v>0.152500319386898</v>
      </c>
      <c r="H24" s="43" t="n">
        <f aca="false">Rev_Total*(30/365)</f>
        <v>0.197119616538679</v>
      </c>
      <c r="I24" s="43" t="n">
        <f aca="false">Rev_Total*(30/365)</f>
        <v>0.247528869986682</v>
      </c>
      <c r="J24" s="43" t="n">
        <f aca="false">Rev_Total*(30/365)</f>
        <v>0.304290297728494</v>
      </c>
      <c r="K24" s="43" t="n">
        <f aca="false">Rev_Total*(30/365)</f>
        <v>0.368010173425117</v>
      </c>
      <c r="L24" s="43" t="n">
        <f aca="false">Rev_Total*(30/365)</f>
        <v>0.439341615756805</v>
      </c>
      <c r="M24" s="43" t="n">
        <f aca="false">Rev_Total*(30/365)</f>
        <v>0.518987517443082</v>
      </c>
      <c r="N24" s="43" t="n">
        <f aca="false">Rev_Total*(30/365)</f>
        <v>0.607703619868859</v>
      </c>
      <c r="O24" s="43" t="n">
        <f aca="false">Rev_Total*(30/365)</f>
        <v>0.706301739638783</v>
      </c>
      <c r="P24" s="43" t="n">
        <f aca="false">Rev_Total*(30/365)</f>
        <v>0.815653153808608</v>
      </c>
      <c r="Q24" s="43" t="n">
        <f aca="false">Rev_Total*(30/365)</f>
        <v>0.936692151020498</v>
      </c>
      <c r="R24" s="43" t="n">
        <f aca="false">Rev_Total*(30/365)</f>
        <v>1.07041975630415</v>
      </c>
      <c r="S24" s="43" t="n">
        <f aca="false">Rev_Total*(30/365)</f>
        <v>1.21790763790321</v>
      </c>
      <c r="T24" s="43" t="n">
        <f aca="false">Rev_Total*(30/365)</f>
        <v>1.38030220515259</v>
      </c>
      <c r="U24" s="43" t="n">
        <f aca="false">Rev_Total*(30/365)</f>
        <v>1.55882890717403</v>
      </c>
      <c r="V24" s="43" t="n">
        <f aca="false">Rev_Total*(30/365)</f>
        <v>1.75479674298023</v>
      </c>
      <c r="W24" s="43" t="n">
        <f aca="false">Rev_Total*(30/365)</f>
        <v>1.96960299449112</v>
      </c>
      <c r="X24" s="43" t="n">
        <f aca="false">Rev_Total*(30/365)</f>
        <v>2.20473819497535</v>
      </c>
      <c r="Y24" s="43" t="n">
        <f aca="false">Rev_Total*(30/365)</f>
        <v>2.46179134654466</v>
      </c>
      <c r="Z24" s="43" t="n">
        <f aca="false">Rev_Total*(30/365)</f>
        <v>2.74245540155759</v>
      </c>
      <c r="AA24" s="43" t="n">
        <f aca="false">Rev_Total*(30/365)</f>
        <v>3.04853302413932</v>
      </c>
      <c r="AB24" s="43" t="n">
        <f aca="false">Rev_Total*(30/365)</f>
        <v>3.38194264950763</v>
      </c>
      <c r="AC24" s="43" t="n">
        <f aca="false">Rev_Total*(30/365)</f>
        <v>3.74472486041912</v>
      </c>
      <c r="AD24" s="43" t="n">
        <f aca="false">Rev_Total*(30/365)</f>
        <v>4.139049101827</v>
      </c>
      <c r="AE24" s="43" t="n">
        <f aca="false">Rev_Total*(30/365)</f>
        <v>4.56722075678098</v>
      </c>
      <c r="AF24" s="43" t="n">
        <f aca="false">Rev_Total*(30/365)</f>
        <v>5.03168860871465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F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2" min="3" style="0" width="12"/>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6"/>
      <c r="AF1" s="6"/>
    </row>
    <row r="2" customFormat="false" ht="21.75" hidden="false" customHeight="true" outlineLevel="0" collapsed="false">
      <c r="A2" s="1"/>
      <c r="B2" s="21" t="s">
        <v>174</v>
      </c>
      <c r="C2" s="1"/>
      <c r="D2" s="1"/>
      <c r="E2" s="1"/>
      <c r="F2" s="1"/>
      <c r="G2" s="1"/>
      <c r="H2" s="1"/>
      <c r="I2" s="1"/>
      <c r="J2" s="1"/>
      <c r="K2" s="1"/>
      <c r="L2" s="1"/>
      <c r="M2" s="1"/>
      <c r="N2" s="1"/>
      <c r="O2" s="1"/>
      <c r="P2" s="1"/>
      <c r="Q2" s="1"/>
      <c r="R2" s="1"/>
      <c r="S2" s="1"/>
      <c r="T2" s="1"/>
      <c r="U2" s="1"/>
      <c r="V2" s="1"/>
      <c r="W2" s="1"/>
      <c r="X2" s="1"/>
      <c r="Y2" s="1"/>
      <c r="Z2" s="1"/>
      <c r="AA2" s="1"/>
      <c r="AB2" s="1"/>
      <c r="AC2" s="1"/>
      <c r="AD2" s="1"/>
      <c r="AE2" s="6"/>
      <c r="AF2" s="6"/>
    </row>
    <row r="3" customFormat="false" ht="15" hidden="false" customHeight="false" outlineLevel="0" collapsed="false">
      <c r="A3" s="1"/>
      <c r="B3" s="22" t="s">
        <v>175</v>
      </c>
      <c r="C3" s="1"/>
      <c r="D3" s="1"/>
      <c r="E3" s="1"/>
      <c r="F3" s="1"/>
      <c r="G3" s="1"/>
      <c r="H3" s="1"/>
      <c r="I3" s="1"/>
      <c r="J3" s="1"/>
      <c r="K3" s="1"/>
      <c r="L3" s="1"/>
      <c r="M3" s="1"/>
      <c r="N3" s="1"/>
      <c r="O3" s="1"/>
      <c r="P3" s="1"/>
      <c r="Q3" s="1"/>
      <c r="R3" s="1"/>
      <c r="S3" s="1"/>
      <c r="T3" s="1"/>
      <c r="U3" s="1"/>
      <c r="V3" s="1"/>
      <c r="W3" s="1"/>
      <c r="X3" s="1"/>
      <c r="Y3" s="1"/>
      <c r="Z3" s="1"/>
      <c r="AA3" s="1"/>
      <c r="AB3" s="1"/>
      <c r="AC3" s="1"/>
      <c r="AD3" s="1"/>
      <c r="AE3" s="6"/>
      <c r="AF3" s="6"/>
    </row>
    <row r="4" customFormat="false" ht="15" hidden="false" customHeight="false" outlineLevel="0" collapsed="false">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row>
    <row r="5" customFormat="false" ht="15" hidden="false" customHeight="false" outlineLevel="0" collapsed="false">
      <c r="A5" s="6"/>
      <c r="B5" s="29" t="s">
        <v>36</v>
      </c>
      <c r="C5" s="30" t="n">
        <f aca="false">Launch_Year+0</f>
        <v>2025</v>
      </c>
      <c r="D5" s="30" t="n">
        <f aca="false">Launch_Year+1</f>
        <v>2026</v>
      </c>
      <c r="E5" s="30" t="n">
        <f aca="false">Launch_Year+2</f>
        <v>2027</v>
      </c>
      <c r="F5" s="30" t="n">
        <f aca="false">Launch_Year+3</f>
        <v>2028</v>
      </c>
      <c r="G5" s="30" t="n">
        <f aca="false">Launch_Year+4</f>
        <v>2029</v>
      </c>
      <c r="H5" s="30" t="n">
        <f aca="false">Launch_Year+5</f>
        <v>2030</v>
      </c>
      <c r="I5" s="30" t="n">
        <f aca="false">Launch_Year+6</f>
        <v>2031</v>
      </c>
      <c r="J5" s="30" t="n">
        <f aca="false">Launch_Year+7</f>
        <v>2032</v>
      </c>
      <c r="K5" s="30" t="n">
        <f aca="false">Launch_Year+8</f>
        <v>2033</v>
      </c>
      <c r="L5" s="30" t="n">
        <f aca="false">Launch_Year+9</f>
        <v>2034</v>
      </c>
      <c r="M5" s="30" t="n">
        <f aca="false">Launch_Year+10</f>
        <v>2035</v>
      </c>
      <c r="N5" s="30" t="n">
        <f aca="false">Launch_Year+11</f>
        <v>2036</v>
      </c>
      <c r="O5" s="30" t="n">
        <f aca="false">Launch_Year+12</f>
        <v>2037</v>
      </c>
      <c r="P5" s="30" t="n">
        <f aca="false">Launch_Year+13</f>
        <v>2038</v>
      </c>
      <c r="Q5" s="30" t="n">
        <f aca="false">Launch_Year+14</f>
        <v>2039</v>
      </c>
      <c r="R5" s="30" t="n">
        <f aca="false">Launch_Year+15</f>
        <v>2040</v>
      </c>
      <c r="S5" s="30" t="n">
        <f aca="false">Launch_Year+16</f>
        <v>2041</v>
      </c>
      <c r="T5" s="30" t="n">
        <f aca="false">Launch_Year+17</f>
        <v>2042</v>
      </c>
      <c r="U5" s="30" t="n">
        <f aca="false">Launch_Year+18</f>
        <v>2043</v>
      </c>
      <c r="V5" s="30" t="n">
        <f aca="false">Launch_Year+19</f>
        <v>2044</v>
      </c>
      <c r="W5" s="30" t="n">
        <f aca="false">Launch_Year+20</f>
        <v>2045</v>
      </c>
      <c r="X5" s="30" t="n">
        <f aca="false">Launch_Year+21</f>
        <v>2046</v>
      </c>
      <c r="Y5" s="30" t="n">
        <f aca="false">Launch_Year+22</f>
        <v>2047</v>
      </c>
      <c r="Z5" s="30" t="n">
        <f aca="false">Launch_Year+23</f>
        <v>2048</v>
      </c>
      <c r="AA5" s="30" t="n">
        <f aca="false">Launch_Year+24</f>
        <v>2049</v>
      </c>
      <c r="AB5" s="30" t="n">
        <f aca="false">Launch_Year+25</f>
        <v>2050</v>
      </c>
      <c r="AC5" s="30" t="n">
        <f aca="false">Launch_Year+26</f>
        <v>2051</v>
      </c>
      <c r="AD5" s="30" t="n">
        <f aca="false">Launch_Year+27</f>
        <v>2052</v>
      </c>
      <c r="AE5" s="30" t="n">
        <f aca="false">Launch_Year+28</f>
        <v>2053</v>
      </c>
      <c r="AF5" s="30" t="n">
        <f aca="false">Launch_Year+29</f>
        <v>2054</v>
      </c>
    </row>
    <row r="6" customFormat="false" ht="15" hidden="false" customHeight="false" outlineLevel="0" collapsed="false">
      <c r="A6" s="6"/>
      <c r="B6" s="23" t="s">
        <v>176</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row>
    <row r="7" customFormat="false" ht="15" hidden="false" customHeight="false" outlineLevel="0" collapsed="false">
      <c r="A7" s="6"/>
      <c r="B7" s="10" t="s">
        <v>117</v>
      </c>
      <c r="C7" s="35" t="n">
        <f aca="false">CF_Closing</f>
        <v>-4.30944852568493</v>
      </c>
      <c r="D7" s="35" t="n">
        <f aca="false">CF_Closing</f>
        <v>-8.47738113185712</v>
      </c>
      <c r="E7" s="35" t="n">
        <f aca="false">CF_Closing</f>
        <v>-12.4683423550714</v>
      </c>
      <c r="F7" s="35" t="n">
        <f aca="false">CF_Closing</f>
        <v>-16.2436789424979</v>
      </c>
      <c r="G7" s="35" t="n">
        <f aca="false">CF_Closing</f>
        <v>-19.7605499265756</v>
      </c>
      <c r="H7" s="35" t="n">
        <f aca="false">CF_Closing</f>
        <v>-22.9715793437463</v>
      </c>
      <c r="I7" s="35" t="n">
        <f aca="false">CF_Closing</f>
        <v>-25.8244859714019</v>
      </c>
      <c r="J7" s="35" t="n">
        <f aca="false">CF_Closing</f>
        <v>-28.2616888972127</v>
      </c>
      <c r="K7" s="35" t="n">
        <f aca="false">CF_Closing</f>
        <v>-30.2198876867809</v>
      </c>
      <c r="L7" s="35" t="n">
        <f aca="false">CF_Closing</f>
        <v>-31.6296158647855</v>
      </c>
      <c r="M7" s="35" t="n">
        <f aca="false">CF_Closing</f>
        <v>-32.4147663711442</v>
      </c>
      <c r="N7" s="35" t="n">
        <f aca="false">CF_Closing</f>
        <v>-32.5000640105543</v>
      </c>
      <c r="O7" s="35" t="n">
        <f aca="false">CF_Closing</f>
        <v>-32.3526509784373</v>
      </c>
      <c r="P7" s="35" t="n">
        <f aca="false">CF_Closing</f>
        <v>-31.9433838814407</v>
      </c>
      <c r="Q7" s="35" t="n">
        <f aca="false">CF_Closing</f>
        <v>-31.2405090796558</v>
      </c>
      <c r="R7" s="35" t="n">
        <f aca="false">CF_Closing</f>
        <v>-30.2094742322348</v>
      </c>
      <c r="S7" s="35" t="n">
        <f aca="false">CF_Closing</f>
        <v>-28.8127287524615</v>
      </c>
      <c r="T7" s="35" t="n">
        <f aca="false">CF_Closing</f>
        <v>-27.0095126296571</v>
      </c>
      <c r="U7" s="35" t="n">
        <f aca="false">CF_Closing</f>
        <v>-24.7556330478317</v>
      </c>
      <c r="V7" s="35" t="n">
        <f aca="false">CF_Closing</f>
        <v>-22.003228201222</v>
      </c>
      <c r="W7" s="35" t="n">
        <f aca="false">CF_Closing</f>
        <v>-18.7005176745425</v>
      </c>
      <c r="X7" s="35" t="n">
        <f aca="false">CF_Closing</f>
        <v>-14.7915387206365</v>
      </c>
      <c r="Y7" s="35" t="n">
        <f aca="false">CF_Closing</f>
        <v>-10.2158677299645</v>
      </c>
      <c r="Z7" s="35" t="n">
        <f aca="false">CF_Closing</f>
        <v>-4.90832614467692</v>
      </c>
      <c r="AA7" s="35" t="n">
        <f aca="false">CF_Closing</f>
        <v>1.20132997544905</v>
      </c>
      <c r="AB7" s="35" t="n">
        <f aca="false">CF_Closing</f>
        <v>8.18873757755159</v>
      </c>
      <c r="AC7" s="35" t="n">
        <f aca="false">CF_Closing</f>
        <v>16.1352723272197</v>
      </c>
      <c r="AD7" s="35" t="n">
        <f aca="false">CF_Closing</f>
        <v>25.1284133626928</v>
      </c>
      <c r="AE7" s="35" t="n">
        <f aca="false">CF_Closing</f>
        <v>35.2621281119904</v>
      </c>
      <c r="AF7" s="35" t="n">
        <f aca="false">CF_Closing</f>
        <v>46.6372782637701</v>
      </c>
    </row>
    <row r="8" customFormat="false" ht="15" hidden="false" customHeight="false" outlineLevel="0" collapsed="false">
      <c r="A8" s="6"/>
      <c r="B8" s="38" t="s">
        <v>177</v>
      </c>
      <c r="C8" s="35" t="n">
        <f aca="false">Rev_Total*(30/365)</f>
        <v>0.0220751506849315</v>
      </c>
      <c r="D8" s="35" t="n">
        <f aca="false">Rev_Total*(30/365)</f>
        <v>0.0483659557623288</v>
      </c>
      <c r="E8" s="35" t="n">
        <f aca="false">Rev_Total*(30/365)</f>
        <v>0.0785871972867032</v>
      </c>
      <c r="F8" s="35" t="n">
        <f aca="false">Rev_Total*(30/365)</f>
        <v>0.113150160902085</v>
      </c>
      <c r="G8" s="35" t="n">
        <f aca="false">Rev_Total*(30/365)</f>
        <v>0.152500319386898</v>
      </c>
      <c r="H8" s="35" t="n">
        <f aca="false">Rev_Total*(30/365)</f>
        <v>0.197119616538679</v>
      </c>
      <c r="I8" s="35" t="n">
        <f aca="false">Rev_Total*(30/365)</f>
        <v>0.247528869986682</v>
      </c>
      <c r="J8" s="35" t="n">
        <f aca="false">Rev_Total*(30/365)</f>
        <v>0.304290297728494</v>
      </c>
      <c r="K8" s="35" t="n">
        <f aca="false">Rev_Total*(30/365)</f>
        <v>0.368010173425117</v>
      </c>
      <c r="L8" s="35" t="n">
        <f aca="false">Rev_Total*(30/365)</f>
        <v>0.439341615756805</v>
      </c>
      <c r="M8" s="35" t="n">
        <f aca="false">Rev_Total*(30/365)</f>
        <v>0.518987517443082</v>
      </c>
      <c r="N8" s="35" t="n">
        <f aca="false">Rev_Total*(30/365)</f>
        <v>0.607703619868859</v>
      </c>
      <c r="O8" s="35" t="n">
        <f aca="false">Rev_Total*(30/365)</f>
        <v>0.706301739638783</v>
      </c>
      <c r="P8" s="35" t="n">
        <f aca="false">Rev_Total*(30/365)</f>
        <v>0.815653153808608</v>
      </c>
      <c r="Q8" s="35" t="n">
        <f aca="false">Rev_Total*(30/365)</f>
        <v>0.936692151020498</v>
      </c>
      <c r="R8" s="35" t="n">
        <f aca="false">Rev_Total*(30/365)</f>
        <v>1.07041975630415</v>
      </c>
      <c r="S8" s="35" t="n">
        <f aca="false">Rev_Total*(30/365)</f>
        <v>1.21790763790321</v>
      </c>
      <c r="T8" s="35" t="n">
        <f aca="false">Rev_Total*(30/365)</f>
        <v>1.38030220515259</v>
      </c>
      <c r="U8" s="35" t="n">
        <f aca="false">Rev_Total*(30/365)</f>
        <v>1.55882890717403</v>
      </c>
      <c r="V8" s="35" t="n">
        <f aca="false">Rev_Total*(30/365)</f>
        <v>1.75479674298023</v>
      </c>
      <c r="W8" s="35" t="n">
        <f aca="false">Rev_Total*(30/365)</f>
        <v>1.96960299449112</v>
      </c>
      <c r="X8" s="35" t="n">
        <f aca="false">Rev_Total*(30/365)</f>
        <v>2.20473819497535</v>
      </c>
      <c r="Y8" s="35" t="n">
        <f aca="false">Rev_Total*(30/365)</f>
        <v>2.46179134654466</v>
      </c>
      <c r="Z8" s="35" t="n">
        <f aca="false">Rev_Total*(30/365)</f>
        <v>2.74245540155759</v>
      </c>
      <c r="AA8" s="35" t="n">
        <f aca="false">Rev_Total*(30/365)</f>
        <v>3.04853302413932</v>
      </c>
      <c r="AB8" s="35" t="n">
        <f aca="false">Rev_Total*(30/365)</f>
        <v>3.38194264950763</v>
      </c>
      <c r="AC8" s="35" t="n">
        <f aca="false">Rev_Total*(30/365)</f>
        <v>3.74472486041912</v>
      </c>
      <c r="AD8" s="35" t="n">
        <f aca="false">Rev_Total*(30/365)</f>
        <v>4.139049101827</v>
      </c>
      <c r="AE8" s="35" t="n">
        <f aca="false">Rev_Total*(30/365)</f>
        <v>4.56722075678098</v>
      </c>
      <c r="AF8" s="35" t="n">
        <f aca="false">Rev_Total*(30/365)</f>
        <v>5.03168860871465</v>
      </c>
    </row>
    <row r="9" customFormat="false" ht="15" hidden="false" customHeight="false" outlineLevel="0" collapsed="false">
      <c r="A9" s="6"/>
      <c r="B9" s="38" t="s">
        <v>163</v>
      </c>
      <c r="C9" s="35" t="n">
        <f aca="false">Seed_Capital</f>
        <v>50</v>
      </c>
      <c r="D9" s="35" t="n">
        <f aca="false">C9</f>
        <v>50</v>
      </c>
      <c r="E9" s="35" t="n">
        <f aca="false">D9</f>
        <v>50</v>
      </c>
      <c r="F9" s="35" t="n">
        <f aca="false">E9</f>
        <v>50</v>
      </c>
      <c r="G9" s="35" t="n">
        <f aca="false">F9</f>
        <v>50</v>
      </c>
      <c r="H9" s="35" t="n">
        <f aca="false">G9</f>
        <v>50</v>
      </c>
      <c r="I9" s="35" t="n">
        <f aca="false">H9</f>
        <v>50</v>
      </c>
      <c r="J9" s="35" t="n">
        <f aca="false">I9</f>
        <v>50</v>
      </c>
      <c r="K9" s="35" t="n">
        <f aca="false">J9</f>
        <v>50</v>
      </c>
      <c r="L9" s="35" t="n">
        <f aca="false">K9</f>
        <v>50</v>
      </c>
      <c r="M9" s="35" t="n">
        <f aca="false">L9</f>
        <v>50</v>
      </c>
      <c r="N9" s="35" t="n">
        <f aca="false">M9</f>
        <v>50</v>
      </c>
      <c r="O9" s="35" t="n">
        <f aca="false">N9</f>
        <v>50</v>
      </c>
      <c r="P9" s="35" t="n">
        <f aca="false">O9</f>
        <v>50</v>
      </c>
      <c r="Q9" s="35" t="n">
        <f aca="false">P9</f>
        <v>50</v>
      </c>
      <c r="R9" s="35" t="n">
        <f aca="false">Q9</f>
        <v>50</v>
      </c>
      <c r="S9" s="35" t="n">
        <f aca="false">R9</f>
        <v>50</v>
      </c>
      <c r="T9" s="35" t="n">
        <f aca="false">S9</f>
        <v>50</v>
      </c>
      <c r="U9" s="35" t="n">
        <f aca="false">T9</f>
        <v>50</v>
      </c>
      <c r="V9" s="35" t="n">
        <f aca="false">U9</f>
        <v>50</v>
      </c>
      <c r="W9" s="35" t="n">
        <f aca="false">V9</f>
        <v>50</v>
      </c>
      <c r="X9" s="35" t="n">
        <f aca="false">W9</f>
        <v>50</v>
      </c>
      <c r="Y9" s="35" t="n">
        <f aca="false">X9</f>
        <v>50</v>
      </c>
      <c r="Z9" s="35" t="n">
        <f aca="false">Y9</f>
        <v>50</v>
      </c>
      <c r="AA9" s="35" t="n">
        <f aca="false">Z9</f>
        <v>50</v>
      </c>
      <c r="AB9" s="35" t="n">
        <f aca="false">AA9</f>
        <v>50</v>
      </c>
      <c r="AC9" s="35" t="n">
        <f aca="false">AB9</f>
        <v>50</v>
      </c>
      <c r="AD9" s="35" t="n">
        <f aca="false">AC9</f>
        <v>50</v>
      </c>
      <c r="AE9" s="35" t="n">
        <f aca="false">AD9</f>
        <v>50</v>
      </c>
      <c r="AF9" s="35" t="n">
        <f aca="false">AE9</f>
        <v>50</v>
      </c>
    </row>
    <row r="10" customFormat="false" ht="15" hidden="false" customHeight="false" outlineLevel="0" collapsed="false">
      <c r="A10" s="6"/>
      <c r="B10" s="38" t="s">
        <v>178</v>
      </c>
      <c r="C10" s="35" t="n">
        <f aca="false">Depr_Amount</f>
        <v>0.2</v>
      </c>
      <c r="D10" s="35" t="n">
        <f aca="false">Depr_Amount</f>
        <v>0.2</v>
      </c>
      <c r="E10" s="35" t="n">
        <f aca="false">Depr_Amount</f>
        <v>0.2</v>
      </c>
      <c r="F10" s="35" t="n">
        <f aca="false">Depr_Amount</f>
        <v>0.2</v>
      </c>
      <c r="G10" s="35" t="n">
        <f aca="false">Depr_Amount</f>
        <v>0.2</v>
      </c>
      <c r="H10" s="35" t="n">
        <f aca="false">Depr_Amount</f>
        <v>0.2</v>
      </c>
      <c r="I10" s="35" t="n">
        <f aca="false">Depr_Amount</f>
        <v>0.2</v>
      </c>
      <c r="J10" s="35" t="n">
        <f aca="false">Depr_Amount</f>
        <v>0.2</v>
      </c>
      <c r="K10" s="35" t="n">
        <f aca="false">Depr_Amount</f>
        <v>0.2</v>
      </c>
      <c r="L10" s="35" t="n">
        <f aca="false">Depr_Amount</f>
        <v>0.2</v>
      </c>
      <c r="M10" s="35" t="n">
        <f aca="false">Depr_Amount</f>
        <v>0.2</v>
      </c>
      <c r="N10" s="35" t="n">
        <f aca="false">Depr_Amount</f>
        <v>0.2</v>
      </c>
      <c r="O10" s="35" t="n">
        <f aca="false">Depr_Amount</f>
        <v>0.2</v>
      </c>
      <c r="P10" s="35" t="n">
        <f aca="false">Depr_Amount</f>
        <v>0.2</v>
      </c>
      <c r="Q10" s="35" t="n">
        <f aca="false">Depr_Amount</f>
        <v>0.2</v>
      </c>
      <c r="R10" s="35" t="n">
        <f aca="false">Depr_Amount</f>
        <v>0.2</v>
      </c>
      <c r="S10" s="35" t="n">
        <f aca="false">Depr_Amount</f>
        <v>0.2</v>
      </c>
      <c r="T10" s="35" t="n">
        <f aca="false">Depr_Amount</f>
        <v>0.2</v>
      </c>
      <c r="U10" s="35" t="n">
        <f aca="false">Depr_Amount</f>
        <v>0.2</v>
      </c>
      <c r="V10" s="35" t="n">
        <f aca="false">Depr_Amount</f>
        <v>0.2</v>
      </c>
      <c r="W10" s="35" t="n">
        <f aca="false">Depr_Amount</f>
        <v>0.2</v>
      </c>
      <c r="X10" s="35" t="n">
        <f aca="false">Depr_Amount</f>
        <v>0.2</v>
      </c>
      <c r="Y10" s="35" t="n">
        <f aca="false">Depr_Amount</f>
        <v>0.2</v>
      </c>
      <c r="Z10" s="35" t="n">
        <f aca="false">Depr_Amount</f>
        <v>0.2</v>
      </c>
      <c r="AA10" s="35" t="n">
        <f aca="false">Depr_Amount</f>
        <v>0.2</v>
      </c>
      <c r="AB10" s="35" t="n">
        <f aca="false">Depr_Amount</f>
        <v>0.2</v>
      </c>
      <c r="AC10" s="35" t="n">
        <f aca="false">Depr_Amount</f>
        <v>0.2</v>
      </c>
      <c r="AD10" s="35" t="n">
        <f aca="false">Depr_Amount</f>
        <v>0.2</v>
      </c>
      <c r="AE10" s="35" t="n">
        <f aca="false">Depr_Amount</f>
        <v>0.2</v>
      </c>
      <c r="AF10" s="35" t="n">
        <f aca="false">Depr_Amount</f>
        <v>0.2</v>
      </c>
    </row>
    <row r="11" customFormat="false" ht="15" hidden="false" customHeight="false" outlineLevel="0" collapsed="false">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row>
    <row r="12" customFormat="false" ht="15" hidden="false" customHeight="false" outlineLevel="0" collapsed="false">
      <c r="A12" s="6"/>
      <c r="B12" s="36" t="s">
        <v>179</v>
      </c>
      <c r="C12" s="37" t="n">
        <f aca="false">C7+C8+C9+C10</f>
        <v>45.912626625</v>
      </c>
      <c r="D12" s="37" t="n">
        <f aca="false">D7+D8+D9+D10</f>
        <v>41.7709848239052</v>
      </c>
      <c r="E12" s="37" t="n">
        <f aca="false">E7+E8+E9+E10</f>
        <v>37.8102448422153</v>
      </c>
      <c r="F12" s="37" t="n">
        <f aca="false">F7+F8+F9+F10</f>
        <v>34.0694712184042</v>
      </c>
      <c r="G12" s="37" t="n">
        <f aca="false">G7+G8+G9+G10</f>
        <v>30.5919503928113</v>
      </c>
      <c r="H12" s="37" t="n">
        <f aca="false">H7+H8+H9+H10</f>
        <v>27.4255402727924</v>
      </c>
      <c r="I12" s="37" t="n">
        <f aca="false">I7+I8+I9+I10</f>
        <v>24.6230428985848</v>
      </c>
      <c r="J12" s="37" t="n">
        <f aca="false">J7+J8+J9+J10</f>
        <v>22.2426014005158</v>
      </c>
      <c r="K12" s="37" t="n">
        <f aca="false">K7+K8+K9+K10</f>
        <v>20.3481224866442</v>
      </c>
      <c r="L12" s="37" t="n">
        <f aca="false">L7+L8+L9+L10</f>
        <v>19.0097257509713</v>
      </c>
      <c r="M12" s="37" t="n">
        <f aca="false">M7+M8+M9+M10</f>
        <v>18.3042211462988</v>
      </c>
      <c r="N12" s="37" t="n">
        <f aca="false">N7+N8+N9+N10</f>
        <v>18.3076396093146</v>
      </c>
      <c r="O12" s="37" t="n">
        <f aca="false">O7+O8+O9+O10</f>
        <v>18.5536507612014</v>
      </c>
      <c r="P12" s="37" t="n">
        <f aca="false">P7+P8+P9+P10</f>
        <v>19.0722692723679</v>
      </c>
      <c r="Q12" s="37" t="n">
        <f aca="false">Q7+Q8+Q9+Q10</f>
        <v>19.8961830713647</v>
      </c>
      <c r="R12" s="37" t="n">
        <f aca="false">R7+R8+R9+R10</f>
        <v>21.0609455240694</v>
      </c>
      <c r="S12" s="37" t="n">
        <f aca="false">S7+S8+S9+S10</f>
        <v>22.6051788854417</v>
      </c>
      <c r="T12" s="37" t="n">
        <f aca="false">T7+T8+T9+T10</f>
        <v>24.5707895754955</v>
      </c>
      <c r="U12" s="37" t="n">
        <f aca="false">U7+U8+U9+U10</f>
        <v>27.0031958593424</v>
      </c>
      <c r="V12" s="37" t="n">
        <f aca="false">V7+V8+V9+V10</f>
        <v>29.9515685417582</v>
      </c>
      <c r="W12" s="37" t="n">
        <f aca="false">W7+W8+W9+W10</f>
        <v>33.4690853199486</v>
      </c>
      <c r="X12" s="37" t="n">
        <f aca="false">X7+X8+X9+X10</f>
        <v>37.6131994743388</v>
      </c>
      <c r="Y12" s="37" t="n">
        <f aca="false">Y7+Y8+Y9+Y10</f>
        <v>42.4459236165802</v>
      </c>
      <c r="Z12" s="37" t="n">
        <f aca="false">Z7+Z8+Z9+Z10</f>
        <v>48.0341292568807</v>
      </c>
      <c r="AA12" s="37" t="n">
        <f aca="false">AA7+AA8+AA9+AA10</f>
        <v>54.4498629995884</v>
      </c>
      <c r="AB12" s="37" t="n">
        <f aca="false">AB7+AB8+AB9+AB10</f>
        <v>61.7706802270592</v>
      </c>
      <c r="AC12" s="37" t="n">
        <f aca="false">AC7+AC8+AC9+AC10</f>
        <v>70.0799971876389</v>
      </c>
      <c r="AD12" s="37" t="n">
        <f aca="false">AD7+AD8+AD9+AD10</f>
        <v>79.4674624645198</v>
      </c>
      <c r="AE12" s="37" t="n">
        <f aca="false">AE7+AE8+AE9+AE10</f>
        <v>90.0293488687714</v>
      </c>
      <c r="AF12" s="37" t="n">
        <f aca="false">AF7+AF8+AF9+AF10</f>
        <v>101.868966872485</v>
      </c>
    </row>
    <row r="13" customFormat="false" ht="15" hidden="false" customHeight="false" outlineLevel="0" collapsed="false">
      <c r="A13" s="6"/>
      <c r="B13" s="23" t="s">
        <v>180</v>
      </c>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row>
    <row r="14" customFormat="false" ht="15" hidden="false" customHeight="false" outlineLevel="0" collapsed="false">
      <c r="A14" s="6"/>
      <c r="B14" s="38" t="s">
        <v>181</v>
      </c>
      <c r="C14" s="35" t="n">
        <f aca="false">OC_Total*(15/365)</f>
        <v>0.179011823630137</v>
      </c>
      <c r="D14" s="35" t="n">
        <f aca="false">OC_Total*(15/365)</f>
        <v>0.186168257378211</v>
      </c>
      <c r="E14" s="35" t="n">
        <f aca="false">OC_Total*(15/365)</f>
        <v>0.19384455679499</v>
      </c>
      <c r="F14" s="35" t="n">
        <f aca="false">OC_Total*(15/365)</f>
        <v>0.2020863252652</v>
      </c>
      <c r="G14" s="35" t="n">
        <f aca="false">OC_Total*(15/365)</f>
        <v>0.210942796361649</v>
      </c>
      <c r="H14" s="35" t="n">
        <f aca="false">OC_Total*(15/365)</f>
        <v>0.220467073475597</v>
      </c>
      <c r="I14" s="35" t="n">
        <f aca="false">OC_Total*(15/365)</f>
        <v>0.230716381878585</v>
      </c>
      <c r="J14" s="35" t="n">
        <f aca="false">OC_Total*(15/365)</f>
        <v>0.241752333716398</v>
      </c>
      <c r="K14" s="35" t="n">
        <f aca="false">OC_Total*(15/365)</f>
        <v>0.253641206460705</v>
      </c>
      <c r="L14" s="35" t="n">
        <f aca="false">OC_Total*(15/365)</f>
        <v>0.266454235371812</v>
      </c>
      <c r="M14" s="35" t="n">
        <f aca="false">OC_Total*(15/365)</f>
        <v>0.280267920557394</v>
      </c>
      <c r="N14" s="35" t="n">
        <f aca="false">OC_Total*(15/365)</f>
        <v>0.295164349247339</v>
      </c>
      <c r="O14" s="35" t="n">
        <f aca="false">OC_Total*(15/365)</f>
        <v>0.311231533944481</v>
      </c>
      <c r="P14" s="35" t="n">
        <f aca="false">OC_Total*(15/365)</f>
        <v>0.328563767155474</v>
      </c>
      <c r="Q14" s="35" t="n">
        <f aca="false">OC_Total*(15/365)</f>
        <v>0.34726199345589</v>
      </c>
      <c r="R14" s="35" t="n">
        <f aca="false">OC_Total*(15/365)</f>
        <v>0.367434199699385</v>
      </c>
      <c r="S14" s="35" t="n">
        <f aca="false">OC_Total*(15/365)</f>
        <v>0.389195824243062</v>
      </c>
      <c r="T14" s="35" t="n">
        <f aca="false">OC_Total*(15/365)</f>
        <v>0.412670186130577</v>
      </c>
      <c r="U14" s="35" t="n">
        <f aca="false">OC_Total*(15/365)</f>
        <v>0.437988935251823</v>
      </c>
      <c r="V14" s="35" t="n">
        <f aca="false">OC_Total*(15/365)</f>
        <v>0.465292524583832</v>
      </c>
      <c r="W14" s="35" t="n">
        <f aca="false">OC_Total*(15/365)</f>
        <v>0.494730705712635</v>
      </c>
      <c r="X14" s="35" t="n">
        <f aca="false">OC_Total*(15/365)</f>
        <v>0.52646304894107</v>
      </c>
      <c r="Y14" s="35" t="n">
        <f aca="false">OC_Total*(15/365)</f>
        <v>0.560659489403652</v>
      </c>
      <c r="Z14" s="35" t="n">
        <f aca="false">OC_Total*(15/365)</f>
        <v>0.597500900737629</v>
      </c>
      <c r="AA14" s="35" t="n">
        <f aca="false">OC_Total*(15/365)</f>
        <v>0.637179698000111</v>
      </c>
      <c r="AB14" s="35" t="n">
        <f aca="false">OC_Total*(15/365)</f>
        <v>0.679900471675617</v>
      </c>
      <c r="AC14" s="35" t="n">
        <f aca="false">OC_Total*(15/365)</f>
        <v>0.725880654787695</v>
      </c>
      <c r="AD14" s="35" t="n">
        <f aca="false">OC_Total*(15/365)</f>
        <v>0.775351225313366</v>
      </c>
      <c r="AE14" s="35" t="n">
        <f aca="false">OC_Total*(15/365)</f>
        <v>0.828557446301233</v>
      </c>
      <c r="AF14" s="35" t="n">
        <f aca="false">OC_Total*(15/365)</f>
        <v>0.885759646314403</v>
      </c>
    </row>
    <row r="15" customFormat="false" ht="15" hidden="false" customHeight="false" outlineLevel="0" collapsed="false">
      <c r="A15" s="6"/>
      <c r="B15" s="38" t="s">
        <v>182</v>
      </c>
      <c r="C15" s="35" t="n">
        <f aca="false">0</f>
        <v>0</v>
      </c>
      <c r="D15" s="35" t="n">
        <f aca="false">0</f>
        <v>0</v>
      </c>
      <c r="E15" s="35" t="n">
        <f aca="false">0</f>
        <v>0</v>
      </c>
      <c r="F15" s="35" t="n">
        <f aca="false">0</f>
        <v>0</v>
      </c>
      <c r="G15" s="35" t="n">
        <f aca="false">0</f>
        <v>0</v>
      </c>
      <c r="H15" s="35" t="n">
        <f aca="false">0</f>
        <v>0</v>
      </c>
      <c r="I15" s="35" t="n">
        <f aca="false">0</f>
        <v>0</v>
      </c>
      <c r="J15" s="35" t="n">
        <f aca="false">0</f>
        <v>0</v>
      </c>
      <c r="K15" s="35" t="n">
        <f aca="false">0</f>
        <v>0</v>
      </c>
      <c r="L15" s="35" t="n">
        <f aca="false">0</f>
        <v>0</v>
      </c>
      <c r="M15" s="35" t="n">
        <f aca="false">0</f>
        <v>0</v>
      </c>
      <c r="N15" s="35" t="n">
        <f aca="false">0</f>
        <v>0</v>
      </c>
      <c r="O15" s="35" t="n">
        <f aca="false">0</f>
        <v>0</v>
      </c>
      <c r="P15" s="35" t="n">
        <f aca="false">0</f>
        <v>0</v>
      </c>
      <c r="Q15" s="35" t="n">
        <f aca="false">0</f>
        <v>0</v>
      </c>
      <c r="R15" s="35" t="n">
        <f aca="false">0</f>
        <v>0</v>
      </c>
      <c r="S15" s="35" t="n">
        <f aca="false">0</f>
        <v>0</v>
      </c>
      <c r="T15" s="35" t="n">
        <f aca="false">0</f>
        <v>0</v>
      </c>
      <c r="U15" s="35" t="n">
        <f aca="false">0</f>
        <v>0</v>
      </c>
      <c r="V15" s="35" t="n">
        <f aca="false">0</f>
        <v>0</v>
      </c>
      <c r="W15" s="35" t="n">
        <f aca="false">0</f>
        <v>0</v>
      </c>
      <c r="X15" s="35" t="n">
        <f aca="false">0</f>
        <v>0</v>
      </c>
      <c r="Y15" s="35" t="n">
        <f aca="false">0</f>
        <v>0</v>
      </c>
      <c r="Z15" s="35" t="n">
        <f aca="false">0</f>
        <v>0</v>
      </c>
      <c r="AA15" s="35" t="n">
        <f aca="false">0</f>
        <v>0</v>
      </c>
      <c r="AB15" s="35" t="n">
        <f aca="false">0</f>
        <v>0</v>
      </c>
      <c r="AC15" s="35" t="n">
        <f aca="false">0</f>
        <v>0</v>
      </c>
      <c r="AD15" s="35" t="n">
        <f aca="false">0</f>
        <v>0</v>
      </c>
      <c r="AE15" s="35" t="n">
        <f aca="false">0</f>
        <v>0</v>
      </c>
      <c r="AF15" s="35" t="n">
        <f aca="false">0</f>
        <v>0</v>
      </c>
    </row>
    <row r="16" customFormat="false" ht="15" hidden="false" customHeight="false" outlineLevel="0" collapsed="false">
      <c r="A16" s="6"/>
      <c r="B16" s="39" t="s">
        <v>183</v>
      </c>
      <c r="C16" s="40" t="n">
        <f aca="false">C14+C15</f>
        <v>0.179011823630137</v>
      </c>
      <c r="D16" s="40" t="n">
        <f aca="false">D14+D15</f>
        <v>0.186168257378211</v>
      </c>
      <c r="E16" s="40" t="n">
        <f aca="false">E14+E15</f>
        <v>0.19384455679499</v>
      </c>
      <c r="F16" s="40" t="n">
        <f aca="false">F14+F15</f>
        <v>0.2020863252652</v>
      </c>
      <c r="G16" s="40" t="n">
        <f aca="false">G14+G15</f>
        <v>0.210942796361649</v>
      </c>
      <c r="H16" s="40" t="n">
        <f aca="false">H14+H15</f>
        <v>0.220467073475597</v>
      </c>
      <c r="I16" s="40" t="n">
        <f aca="false">I14+I15</f>
        <v>0.230716381878585</v>
      </c>
      <c r="J16" s="40" t="n">
        <f aca="false">J14+J15</f>
        <v>0.241752333716398</v>
      </c>
      <c r="K16" s="40" t="n">
        <f aca="false">K14+K15</f>
        <v>0.253641206460705</v>
      </c>
      <c r="L16" s="40" t="n">
        <f aca="false">L14+L15</f>
        <v>0.266454235371812</v>
      </c>
      <c r="M16" s="40" t="n">
        <f aca="false">M14+M15</f>
        <v>0.280267920557394</v>
      </c>
      <c r="N16" s="40" t="n">
        <f aca="false">N14+N15</f>
        <v>0.295164349247339</v>
      </c>
      <c r="O16" s="40" t="n">
        <f aca="false">O14+O15</f>
        <v>0.311231533944481</v>
      </c>
      <c r="P16" s="40" t="n">
        <f aca="false">P14+P15</f>
        <v>0.328563767155474</v>
      </c>
      <c r="Q16" s="40" t="n">
        <f aca="false">Q14+Q15</f>
        <v>0.34726199345589</v>
      </c>
      <c r="R16" s="40" t="n">
        <f aca="false">R14+R15</f>
        <v>0.367434199699385</v>
      </c>
      <c r="S16" s="40" t="n">
        <f aca="false">S14+S15</f>
        <v>0.389195824243062</v>
      </c>
      <c r="T16" s="40" t="n">
        <f aca="false">T14+T15</f>
        <v>0.412670186130577</v>
      </c>
      <c r="U16" s="40" t="n">
        <f aca="false">U14+U15</f>
        <v>0.437988935251823</v>
      </c>
      <c r="V16" s="40" t="n">
        <f aca="false">V14+V15</f>
        <v>0.465292524583832</v>
      </c>
      <c r="W16" s="40" t="n">
        <f aca="false">W14+W15</f>
        <v>0.494730705712635</v>
      </c>
      <c r="X16" s="40" t="n">
        <f aca="false">X14+X15</f>
        <v>0.52646304894107</v>
      </c>
      <c r="Y16" s="40" t="n">
        <f aca="false">Y14+Y15</f>
        <v>0.560659489403652</v>
      </c>
      <c r="Z16" s="40" t="n">
        <f aca="false">Z14+Z15</f>
        <v>0.597500900737629</v>
      </c>
      <c r="AA16" s="40" t="n">
        <f aca="false">AA14+AA15</f>
        <v>0.637179698000111</v>
      </c>
      <c r="AB16" s="40" t="n">
        <f aca="false">AB14+AB15</f>
        <v>0.679900471675617</v>
      </c>
      <c r="AC16" s="40" t="n">
        <f aca="false">AC14+AC15</f>
        <v>0.725880654787695</v>
      </c>
      <c r="AD16" s="40" t="n">
        <f aca="false">AD14+AD15</f>
        <v>0.775351225313366</v>
      </c>
      <c r="AE16" s="40" t="n">
        <f aca="false">AE14+AE15</f>
        <v>0.828557446301233</v>
      </c>
      <c r="AF16" s="40" t="n">
        <f aca="false">AF14+AF15</f>
        <v>0.885759646314403</v>
      </c>
    </row>
    <row r="17" customFormat="false" ht="15" hidden="false" customHeight="false" outlineLevel="0" collapsed="false">
      <c r="A17" s="6"/>
      <c r="B17" s="23" t="s">
        <v>184</v>
      </c>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row>
    <row r="18" customFormat="false" ht="15" hidden="false" customHeight="false" outlineLevel="0" collapsed="false">
      <c r="A18" s="6"/>
      <c r="B18" s="10" t="s">
        <v>185</v>
      </c>
      <c r="C18" s="35" t="n">
        <f aca="false">Seed_Capital</f>
        <v>50</v>
      </c>
      <c r="D18" s="35" t="n">
        <f aca="false">Seed_Capital</f>
        <v>50</v>
      </c>
      <c r="E18" s="35" t="n">
        <f aca="false">Seed_Capital</f>
        <v>50</v>
      </c>
      <c r="F18" s="35" t="n">
        <f aca="false">Seed_Capital</f>
        <v>50</v>
      </c>
      <c r="G18" s="35" t="n">
        <f aca="false">Seed_Capital</f>
        <v>50</v>
      </c>
      <c r="H18" s="35" t="n">
        <f aca="false">Seed_Capital</f>
        <v>50</v>
      </c>
      <c r="I18" s="35" t="n">
        <f aca="false">Seed_Capital</f>
        <v>50</v>
      </c>
      <c r="J18" s="35" t="n">
        <f aca="false">Seed_Capital</f>
        <v>50</v>
      </c>
      <c r="K18" s="35" t="n">
        <f aca="false">Seed_Capital</f>
        <v>50</v>
      </c>
      <c r="L18" s="35" t="n">
        <f aca="false">Seed_Capital</f>
        <v>50</v>
      </c>
      <c r="M18" s="35" t="n">
        <f aca="false">Seed_Capital</f>
        <v>50</v>
      </c>
      <c r="N18" s="35" t="n">
        <f aca="false">Seed_Capital</f>
        <v>50</v>
      </c>
      <c r="O18" s="35" t="n">
        <f aca="false">Seed_Capital</f>
        <v>50</v>
      </c>
      <c r="P18" s="35" t="n">
        <f aca="false">Seed_Capital</f>
        <v>50</v>
      </c>
      <c r="Q18" s="35" t="n">
        <f aca="false">Seed_Capital</f>
        <v>50</v>
      </c>
      <c r="R18" s="35" t="n">
        <f aca="false">Seed_Capital</f>
        <v>50</v>
      </c>
      <c r="S18" s="35" t="n">
        <f aca="false">Seed_Capital</f>
        <v>50</v>
      </c>
      <c r="T18" s="35" t="n">
        <f aca="false">Seed_Capital</f>
        <v>50</v>
      </c>
      <c r="U18" s="35" t="n">
        <f aca="false">Seed_Capital</f>
        <v>50</v>
      </c>
      <c r="V18" s="35" t="n">
        <f aca="false">Seed_Capital</f>
        <v>50</v>
      </c>
      <c r="W18" s="35" t="n">
        <f aca="false">Seed_Capital</f>
        <v>50</v>
      </c>
      <c r="X18" s="35" t="n">
        <f aca="false">Seed_Capital</f>
        <v>50</v>
      </c>
      <c r="Y18" s="35" t="n">
        <f aca="false">Seed_Capital</f>
        <v>50</v>
      </c>
      <c r="Z18" s="35" t="n">
        <f aca="false">Seed_Capital</f>
        <v>50</v>
      </c>
      <c r="AA18" s="35" t="n">
        <f aca="false">Seed_Capital</f>
        <v>50</v>
      </c>
      <c r="AB18" s="35" t="n">
        <f aca="false">Seed_Capital</f>
        <v>50</v>
      </c>
      <c r="AC18" s="35" t="n">
        <f aca="false">Seed_Capital</f>
        <v>50</v>
      </c>
      <c r="AD18" s="35" t="n">
        <f aca="false">Seed_Capital</f>
        <v>50</v>
      </c>
      <c r="AE18" s="35" t="n">
        <f aca="false">Seed_Capital</f>
        <v>50</v>
      </c>
      <c r="AF18" s="35" t="n">
        <f aca="false">Seed_Capital</f>
        <v>50</v>
      </c>
    </row>
    <row r="19" customFormat="false" ht="15" hidden="false" customHeight="false" outlineLevel="0" collapsed="false">
      <c r="A19" s="6"/>
      <c r="B19" s="10" t="s">
        <v>186</v>
      </c>
      <c r="C19" s="35" t="n">
        <f aca="false">IS_Net_Income+CF_Dividends</f>
        <v>-4.287373375</v>
      </c>
      <c r="D19" s="35" t="n">
        <f aca="false">C19+IS_Net_Income+CF_Dividends</f>
        <v>-8.42901517609479</v>
      </c>
      <c r="E19" s="35" t="n">
        <f aca="false">D19+IS_Net_Income+CF_Dividends</f>
        <v>-12.3897551577847</v>
      </c>
      <c r="F19" s="35" t="n">
        <f aca="false">E19+IS_Net_Income+CF_Dividends</f>
        <v>-16.1305287815958</v>
      </c>
      <c r="G19" s="35" t="n">
        <f aca="false">F19+IS_Net_Income+CF_Dividends</f>
        <v>-19.6080496071887</v>
      </c>
      <c r="H19" s="35" t="n">
        <f aca="false">G19+IS_Net_Income+CF_Dividends</f>
        <v>-22.7744597272076</v>
      </c>
      <c r="I19" s="35" t="n">
        <f aca="false">H19+IS_Net_Income+CF_Dividends</f>
        <v>-25.5769571014152</v>
      </c>
      <c r="J19" s="35" t="n">
        <f aca="false">I19+IS_Net_Income+CF_Dividends</f>
        <v>-27.9573985994842</v>
      </c>
      <c r="K19" s="35" t="n">
        <f aca="false">J19+IS_Net_Income+CF_Dividends</f>
        <v>-29.8518775133558</v>
      </c>
      <c r="L19" s="35" t="n">
        <f aca="false">K19+IS_Net_Income+CF_Dividends</f>
        <v>-31.1902742490287</v>
      </c>
      <c r="M19" s="35" t="n">
        <f aca="false">L19+IS_Net_Income+CF_Dividends</f>
        <v>-31.8957788537012</v>
      </c>
      <c r="N19" s="35" t="n">
        <f aca="false">M19+IS_Net_Income+CF_Dividends</f>
        <v>-31.8923603906854</v>
      </c>
      <c r="O19" s="35" t="n">
        <f aca="false">N19+IS_Net_Income+CF_Dividends</f>
        <v>-31.6463492387986</v>
      </c>
      <c r="P19" s="35" t="n">
        <f aca="false">O19+IS_Net_Income+CF_Dividends</f>
        <v>-31.1277307276321</v>
      </c>
      <c r="Q19" s="35" t="n">
        <f aca="false">P19+IS_Net_Income+CF_Dividends</f>
        <v>-30.3038169286353</v>
      </c>
      <c r="R19" s="35" t="n">
        <f aca="false">Q19+IS_Net_Income+CF_Dividends</f>
        <v>-29.1390544759306</v>
      </c>
      <c r="S19" s="35" t="n">
        <f aca="false">R19+IS_Net_Income+CF_Dividends</f>
        <v>-27.5948211145583</v>
      </c>
      <c r="T19" s="35" t="n">
        <f aca="false">S19+IS_Net_Income+CF_Dividends</f>
        <v>-25.6292104245045</v>
      </c>
      <c r="U19" s="35" t="n">
        <f aca="false">T19+IS_Net_Income+CF_Dividends</f>
        <v>-23.1968041406576</v>
      </c>
      <c r="V19" s="35" t="n">
        <f aca="false">U19+IS_Net_Income+CF_Dividends</f>
        <v>-20.2484314582418</v>
      </c>
      <c r="W19" s="35" t="n">
        <f aca="false">V19+IS_Net_Income+CF_Dividends</f>
        <v>-16.7309146800514</v>
      </c>
      <c r="X19" s="35" t="n">
        <f aca="false">W19+IS_Net_Income+CF_Dividends</f>
        <v>-12.5868005256612</v>
      </c>
      <c r="Y19" s="35" t="n">
        <f aca="false">X19+IS_Net_Income+CF_Dividends</f>
        <v>-7.75407638341982</v>
      </c>
      <c r="Z19" s="35" t="n">
        <f aca="false">Y19+IS_Net_Income+CF_Dividends</f>
        <v>-2.16587074311933</v>
      </c>
      <c r="AA19" s="35" t="n">
        <f aca="false">Z19+IS_Net_Income+CF_Dividends</f>
        <v>4.24986299958837</v>
      </c>
      <c r="AB19" s="35" t="n">
        <f aca="false">AA19+IS_Net_Income+CF_Dividends</f>
        <v>11.5706802270592</v>
      </c>
      <c r="AC19" s="35" t="n">
        <f aca="false">AB19+IS_Net_Income+CF_Dividends</f>
        <v>19.8799971876388</v>
      </c>
      <c r="AD19" s="35" t="n">
        <f aca="false">AC19+IS_Net_Income+CF_Dividends</f>
        <v>29.2674624645198</v>
      </c>
      <c r="AE19" s="35" t="n">
        <f aca="false">AD19+IS_Net_Income+CF_Dividends</f>
        <v>39.8293488687714</v>
      </c>
      <c r="AF19" s="35" t="n">
        <f aca="false">AE19+IS_Net_Income+CF_Dividends</f>
        <v>51.6689668724847</v>
      </c>
    </row>
    <row r="20" customFormat="false" ht="15" hidden="false" customHeight="false" outlineLevel="0" collapsed="false">
      <c r="A20" s="6"/>
      <c r="B20" s="39" t="s">
        <v>187</v>
      </c>
      <c r="C20" s="40" t="n">
        <f aca="false">C18+C19</f>
        <v>45.712626625</v>
      </c>
      <c r="D20" s="40" t="n">
        <f aca="false">D18+D19</f>
        <v>41.5709848239052</v>
      </c>
      <c r="E20" s="40" t="n">
        <f aca="false">E18+E19</f>
        <v>37.6102448422153</v>
      </c>
      <c r="F20" s="40" t="n">
        <f aca="false">F18+F19</f>
        <v>33.8694712184042</v>
      </c>
      <c r="G20" s="40" t="n">
        <f aca="false">G18+G19</f>
        <v>30.3919503928113</v>
      </c>
      <c r="H20" s="40" t="n">
        <f aca="false">H18+H19</f>
        <v>27.2255402727924</v>
      </c>
      <c r="I20" s="40" t="n">
        <f aca="false">I18+I19</f>
        <v>24.4230428985848</v>
      </c>
      <c r="J20" s="40" t="n">
        <f aca="false">J18+J19</f>
        <v>22.0426014005158</v>
      </c>
      <c r="K20" s="40" t="n">
        <f aca="false">K18+K19</f>
        <v>20.1481224866442</v>
      </c>
      <c r="L20" s="40" t="n">
        <f aca="false">L18+L19</f>
        <v>18.8097257509713</v>
      </c>
      <c r="M20" s="40" t="n">
        <f aca="false">M18+M19</f>
        <v>18.1042211462988</v>
      </c>
      <c r="N20" s="40" t="n">
        <f aca="false">N18+N19</f>
        <v>18.1076396093146</v>
      </c>
      <c r="O20" s="40" t="n">
        <f aca="false">O18+O19</f>
        <v>18.3536507612014</v>
      </c>
      <c r="P20" s="40" t="n">
        <f aca="false">P18+P19</f>
        <v>18.8722692723679</v>
      </c>
      <c r="Q20" s="40" t="n">
        <f aca="false">Q18+Q19</f>
        <v>19.6961830713647</v>
      </c>
      <c r="R20" s="40" t="n">
        <f aca="false">R18+R19</f>
        <v>20.8609455240694</v>
      </c>
      <c r="S20" s="40" t="n">
        <f aca="false">S18+S19</f>
        <v>22.4051788854417</v>
      </c>
      <c r="T20" s="40" t="n">
        <f aca="false">T18+T19</f>
        <v>24.3707895754955</v>
      </c>
      <c r="U20" s="40" t="n">
        <f aca="false">U18+U19</f>
        <v>26.8031958593424</v>
      </c>
      <c r="V20" s="40" t="n">
        <f aca="false">V18+V19</f>
        <v>29.7515685417582</v>
      </c>
      <c r="W20" s="40" t="n">
        <f aca="false">W18+W19</f>
        <v>33.2690853199486</v>
      </c>
      <c r="X20" s="40" t="n">
        <f aca="false">X18+X19</f>
        <v>37.4131994743388</v>
      </c>
      <c r="Y20" s="40" t="n">
        <f aca="false">Y18+Y19</f>
        <v>42.2459236165802</v>
      </c>
      <c r="Z20" s="40" t="n">
        <f aca="false">Z18+Z19</f>
        <v>47.8341292568807</v>
      </c>
      <c r="AA20" s="40" t="n">
        <f aca="false">AA18+AA19</f>
        <v>54.2498629995884</v>
      </c>
      <c r="AB20" s="40" t="n">
        <f aca="false">AB18+AB19</f>
        <v>61.5706802270592</v>
      </c>
      <c r="AC20" s="40" t="n">
        <f aca="false">AC18+AC19</f>
        <v>69.8799971876388</v>
      </c>
      <c r="AD20" s="40" t="n">
        <f aca="false">AD18+AD19</f>
        <v>79.2674624645198</v>
      </c>
      <c r="AE20" s="40" t="n">
        <f aca="false">AE18+AE19</f>
        <v>89.8293488687714</v>
      </c>
      <c r="AF20" s="40" t="n">
        <f aca="false">AF18+AF19</f>
        <v>101.668966872485</v>
      </c>
    </row>
    <row r="21" customFormat="false" ht="15" hidden="false" customHeight="false" outlineLevel="0" collapsed="false">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row>
    <row r="22" customFormat="false" ht="15" hidden="false" customHeight="false" outlineLevel="0" collapsed="false">
      <c r="A22" s="6"/>
      <c r="B22" s="36" t="s">
        <v>188</v>
      </c>
      <c r="C22" s="37" t="n">
        <f aca="false">C16+C20</f>
        <v>45.8916384486301</v>
      </c>
      <c r="D22" s="37" t="n">
        <f aca="false">D16+D20</f>
        <v>41.7571530812834</v>
      </c>
      <c r="E22" s="37" t="n">
        <f aca="false">E16+E20</f>
        <v>37.8040893990103</v>
      </c>
      <c r="F22" s="37" t="n">
        <f aca="false">F16+F20</f>
        <v>34.0715575436694</v>
      </c>
      <c r="G22" s="37" t="n">
        <f aca="false">G16+G20</f>
        <v>30.602893189173</v>
      </c>
      <c r="H22" s="37" t="n">
        <f aca="false">H16+H20</f>
        <v>27.446007346268</v>
      </c>
      <c r="I22" s="37" t="n">
        <f aca="false">I16+I20</f>
        <v>24.6537592804634</v>
      </c>
      <c r="J22" s="37" t="n">
        <f aca="false">J16+J20</f>
        <v>22.2843537342322</v>
      </c>
      <c r="K22" s="37" t="n">
        <f aca="false">K16+K20</f>
        <v>20.4017636931049</v>
      </c>
      <c r="L22" s="37" t="n">
        <f aca="false">L16+L20</f>
        <v>19.0761799863431</v>
      </c>
      <c r="M22" s="37" t="n">
        <f aca="false">M16+M20</f>
        <v>18.3844890668562</v>
      </c>
      <c r="N22" s="37" t="n">
        <f aca="false">N16+N20</f>
        <v>18.4028039585619</v>
      </c>
      <c r="O22" s="37" t="n">
        <f aca="false">O16+O20</f>
        <v>18.6648822951459</v>
      </c>
      <c r="P22" s="37" t="n">
        <f aca="false">P16+P20</f>
        <v>19.2008330395234</v>
      </c>
      <c r="Q22" s="37" t="n">
        <f aca="false">Q16+Q20</f>
        <v>20.0434450648206</v>
      </c>
      <c r="R22" s="37" t="n">
        <f aca="false">R16+R20</f>
        <v>21.2283797237688</v>
      </c>
      <c r="S22" s="37" t="n">
        <f aca="false">S16+S20</f>
        <v>22.7943747096848</v>
      </c>
      <c r="T22" s="37" t="n">
        <f aca="false">T16+T20</f>
        <v>24.783459761626</v>
      </c>
      <c r="U22" s="37" t="n">
        <f aca="false">U16+U20</f>
        <v>27.2411847945942</v>
      </c>
      <c r="V22" s="37" t="n">
        <f aca="false">V16+V20</f>
        <v>30.2168610663421</v>
      </c>
      <c r="W22" s="37" t="n">
        <f aca="false">W16+W20</f>
        <v>33.7638160256612</v>
      </c>
      <c r="X22" s="37" t="n">
        <f aca="false">X16+X20</f>
        <v>37.9396625232799</v>
      </c>
      <c r="Y22" s="37" t="n">
        <f aca="false">Y16+Y20</f>
        <v>42.8065831059838</v>
      </c>
      <c r="Z22" s="37" t="n">
        <f aca="false">Z16+Z20</f>
        <v>48.4316301576183</v>
      </c>
      <c r="AA22" s="37" t="n">
        <f aca="false">AA16+AA20</f>
        <v>54.8870426975885</v>
      </c>
      <c r="AB22" s="37" t="n">
        <f aca="false">AB16+AB20</f>
        <v>62.2505806987348</v>
      </c>
      <c r="AC22" s="37" t="n">
        <f aca="false">AC16+AC20</f>
        <v>70.6058778424265</v>
      </c>
      <c r="AD22" s="37" t="n">
        <f aca="false">AD16+AD20</f>
        <v>80.0428136898332</v>
      </c>
      <c r="AE22" s="37" t="n">
        <f aca="false">AE16+AE20</f>
        <v>90.6579063150726</v>
      </c>
      <c r="AF22" s="37" t="n">
        <f aca="false">AF16+AF20</f>
        <v>102.554726518799</v>
      </c>
    </row>
    <row r="23" customFormat="false" ht="15" hidden="false" customHeight="false" outlineLevel="0" collapsed="false">
      <c r="A23" s="6"/>
      <c r="B23" s="10" t="s">
        <v>189</v>
      </c>
      <c r="C23" s="44" t="n">
        <f aca="false">C12-C22</f>
        <v>0.0209881763698689</v>
      </c>
      <c r="D23" s="44" t="n">
        <f aca="false">D12-D22</f>
        <v>0.0138317426217895</v>
      </c>
      <c r="E23" s="44" t="n">
        <f aca="false">E12-E22</f>
        <v>0.00615544320501016</v>
      </c>
      <c r="F23" s="44" t="n">
        <f aca="false">F12-F22</f>
        <v>-0.00208632526519637</v>
      </c>
      <c r="G23" s="44" t="n">
        <f aca="false">G12-G22</f>
        <v>-0.0109427963616469</v>
      </c>
      <c r="H23" s="44" t="n">
        <f aca="false">H12-H22</f>
        <v>-0.0204670734755936</v>
      </c>
      <c r="I23" s="44" t="n">
        <f aca="false">I12-I22</f>
        <v>-0.0307163818785803</v>
      </c>
      <c r="J23" s="44" t="n">
        <f aca="false">J12-J22</f>
        <v>-0.0417523337163956</v>
      </c>
      <c r="K23" s="44" t="n">
        <f aca="false">K12-K22</f>
        <v>-0.0536412064606999</v>
      </c>
      <c r="L23" s="44" t="n">
        <f aca="false">L12-L22</f>
        <v>-0.0664542353718041</v>
      </c>
      <c r="M23" s="44" t="n">
        <f aca="false">M12-M22</f>
        <v>-0.0802679205573895</v>
      </c>
      <c r="N23" s="44" t="n">
        <f aca="false">N12-N22</f>
        <v>-0.0951643492473409</v>
      </c>
      <c r="O23" s="44" t="n">
        <f aca="false">O12-O22</f>
        <v>-0.111231533944487</v>
      </c>
      <c r="P23" s="44" t="n">
        <f aca="false">P12-P22</f>
        <v>-0.128563767155473</v>
      </c>
      <c r="Q23" s="44" t="n">
        <f aca="false">Q12-Q22</f>
        <v>-0.147261993455889</v>
      </c>
      <c r="R23" s="44" t="n">
        <f aca="false">R12-R22</f>
        <v>-0.167434199699382</v>
      </c>
      <c r="S23" s="44" t="n">
        <f aca="false">S12-S22</f>
        <v>-0.189195824243065</v>
      </c>
      <c r="T23" s="44" t="n">
        <f aca="false">T12-T22</f>
        <v>-0.212670186130577</v>
      </c>
      <c r="U23" s="44" t="n">
        <f aca="false">U12-U22</f>
        <v>-0.237988935251824</v>
      </c>
      <c r="V23" s="44" t="n">
        <f aca="false">V12-V22</f>
        <v>-0.265292524583831</v>
      </c>
      <c r="W23" s="44" t="n">
        <f aca="false">W12-W22</f>
        <v>-0.294730705712631</v>
      </c>
      <c r="X23" s="44" t="n">
        <f aca="false">X12-X22</f>
        <v>-0.326463048941065</v>
      </c>
      <c r="Y23" s="44" t="n">
        <f aca="false">Y12-Y22</f>
        <v>-0.360659489403652</v>
      </c>
      <c r="Z23" s="44" t="n">
        <f aca="false">Z12-Z22</f>
        <v>-0.397500900737626</v>
      </c>
      <c r="AA23" s="44" t="n">
        <f aca="false">AA12-AA22</f>
        <v>-0.437179698000108</v>
      </c>
      <c r="AB23" s="44" t="n">
        <f aca="false">AB12-AB22</f>
        <v>-0.479900471675606</v>
      </c>
      <c r="AC23" s="44" t="n">
        <f aca="false">AC12-AC22</f>
        <v>-0.525880654787684</v>
      </c>
      <c r="AD23" s="44" t="n">
        <f aca="false">AD12-AD22</f>
        <v>-0.575351225313369</v>
      </c>
      <c r="AE23" s="44" t="n">
        <f aca="false">AE12-AE22</f>
        <v>-0.628557446301215</v>
      </c>
      <c r="AF23" s="44" t="n">
        <f aca="false">AF12-AF22</f>
        <v>-0.685759646314381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2026-05-15T18:53:57Z</dcterms:created>
  <dc:creator>openpyxl</dc:creator>
  <dc:description/>
  <dc:language>en-GB</dc:language>
  <cp:lastModifiedBy/>
  <dcterms:modified xsi:type="dcterms:W3CDTF">2026-05-15T18:53:57Z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