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Assumptions" sheetId="2" state="visible" r:id="rId4"/>
    <sheet name="Sources_Uses" sheetId="3" state="visible" r:id="rId5"/>
    <sheet name="Generation" sheetId="4" state="visible" r:id="rId6"/>
    <sheet name="Revenue" sheetId="5" state="visible" r:id="rId7"/>
    <sheet name="OpEx" sheetId="6" state="visible" r:id="rId8"/>
    <sheet name="Debt_Schedule" sheetId="7" state="visible" r:id="rId9"/>
    <sheet name="Depreciation_Tax" sheetId="8" state="visible" r:id="rId10"/>
    <sheet name="Cash_Waterfall" sheetId="9" state="visible" r:id="rId11"/>
    <sheet name="Flip_Analysis" sheetId="10" state="visible" r:id="rId12"/>
    <sheet name="Returns" sheetId="11" state="visible" r:id="rId13"/>
    <sheet name="Checks" sheetId="12" state="visible" r:id="rId14"/>
    <sheet name="Disclaimer" sheetId="13" state="visible" r:id="rId15"/>
  </sheets>
  <definedNames>
    <definedName function="false" hidden="false" name="Asset_Mgmt_Per_MW" vbProcedure="false">Assumptions!$C$22</definedName>
    <definedName function="false" hidden="false" name="Availability" vbProcedure="false">Assumptions!$C$10</definedName>
    <definedName function="false" hidden="false" name="Capacity_Factor" vbProcedure="false">Assumptions!$C$8</definedName>
    <definedName function="false" hidden="false" name="Capacity_MWac" vbProcedure="false">Assumptions!$C$7</definedName>
    <definedName function="false" hidden="false" name="Combined_Tax_Rate" vbProcedure="false">Assumptions!$C$55</definedName>
    <definedName function="false" hidden="false" name="Debt_Amount" vbProcedure="false">Assumptions!$C$36</definedName>
    <definedName function="false" hidden="false" name="Debt_Pct" vbProcedure="false">Assumptions!$C$35</definedName>
    <definedName function="false" hidden="false" name="Debt_Tenor" vbProcedure="false">Assumptions!$C$38</definedName>
    <definedName function="false" hidden="false" name="Degradation_Rate" vbProcedure="false">Assumptions!$C$9</definedName>
    <definedName function="false" hidden="false" name="Dev_Cost" vbProcedure="false">Assumptions!$C$28</definedName>
    <definedName function="false" hidden="false" name="Discount_Rate" vbProcedure="false">Assumptions!$C$67</definedName>
    <definedName function="false" hidden="false" name="Eligible_Basis" vbProcedure="false">Assumptions!$C$31</definedName>
    <definedName function="false" hidden="false" name="EPC_Cost" vbProcedure="false">Assumptions!$C$27</definedName>
    <definedName function="false" hidden="false" name="Fed_Tax_Rate" vbProcedure="false">Assumptions!$C$53</definedName>
    <definedName function="false" hidden="false" name="Fin_Fees" vbProcedure="false">Assumptions!$C$30</definedName>
    <definedName function="false" hidden="false" name="Insurance_Per_MW" vbProcedure="false">Assumptions!$C$20</definedName>
    <definedName function="false" hidden="false" name="Interest_Rate" vbProcedure="false">Assumptions!$C$37</definedName>
    <definedName function="false" hidden="false" name="ITC_Amount" vbProcedure="false">Assumptions!$C$57</definedName>
    <definedName function="false" hidden="false" name="ITC_Rate" vbProcedure="false">Assumptions!$C$56</definedName>
    <definedName function="false" hidden="false" name="Land_Lease_Per_MW" vbProcedure="false">Assumptions!$C$21</definedName>
    <definedName function="false" hidden="false" name="MACRS_Basis" vbProcedure="false">Assumptions!$C$58</definedName>
    <definedName function="false" hidden="false" name="MACRS_Rate_Y1" vbProcedure="false">Assumptions!$C$59</definedName>
    <definedName function="false" hidden="false" name="MACRS_Rate_Y2" vbProcedure="false">Assumptions!$C$60</definedName>
    <definedName function="false" hidden="false" name="MACRS_Rate_Y3" vbProcedure="false">Assumptions!$C$61</definedName>
    <definedName function="false" hidden="false" name="MACRS_Rate_Y4" vbProcedure="false">Assumptions!$C$62</definedName>
    <definedName function="false" hidden="false" name="MACRS_Rate_Y5" vbProcedure="false">Assumptions!$C$63</definedName>
    <definedName function="false" hidden="false" name="MACRS_Rate_Y6" vbProcedure="false">Assumptions!$C$64</definedName>
    <definedName function="false" hidden="false" name="Maint_Capex_Per_MW" vbProcedure="false">Assumptions!$C$24</definedName>
    <definedName function="false" hidden="false" name="OM_Per_MW" vbProcedure="false">Assumptions!$C$19</definedName>
    <definedName function="false" hidden="false" name="OpEx_Inflation" vbProcedure="false">Assumptions!$C$23</definedName>
    <definedName function="false" hidden="false" name="PPA_Escalation" vbProcedure="false">Assumptions!$C$15</definedName>
    <definedName function="false" hidden="false" name="PPA_Price_Y1" vbProcedure="false">Assumptions!$C$14</definedName>
    <definedName function="false" hidden="false" name="REC_Price" vbProcedure="false">Assumptions!$C$16</definedName>
    <definedName function="false" hidden="false" name="Reserves" vbProcedure="false">Assumptions!$C$29</definedName>
    <definedName function="false" hidden="false" name="Sponsor_Equity" vbProcedure="false">Assumptions!$C$43</definedName>
    <definedName function="false" hidden="false" name="State_Tax_Rate" vbProcedure="false">Assumptions!$C$54</definedName>
    <definedName function="false" hidden="false" name="TE_Cash_Post" vbProcedure="false">Assumptions!$C$47</definedName>
    <definedName function="false" hidden="false" name="TE_Cash_Pre" vbProcedure="false">Assumptions!$C$45</definedName>
    <definedName function="false" hidden="false" name="TE_Flip_Target" vbProcedure="false">Assumptions!$C$50</definedName>
    <definedName function="false" hidden="false" name="TE_Flip_Target_Mult" vbProcedure="false">Assumptions!$C$48</definedName>
    <definedName function="false" hidden="false" name="TE_Investment" vbProcedure="false">Assumptions!$C$42</definedName>
    <definedName function="false" hidden="false" name="TE_Pct" vbProcedure="false">Assumptions!$C$41</definedName>
    <definedName function="false" hidden="false" name="TE_Target_Yield" vbProcedure="false">Assumptions!$C$49</definedName>
    <definedName function="false" hidden="false" name="TE_Tax_Post" vbProcedure="false">Assumptions!$C$46</definedName>
    <definedName function="false" hidden="false" name="TE_Tax_Pre" vbProcedure="false">Assumptions!$C$44</definedName>
    <definedName function="false" hidden="false" name="Total_Project_Cost" vbProcedure="false">Assumptions!$C$32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<sst xmlns="http://schemas.openxmlformats.org/spreadsheetml/2006/main" count="299" uniqueCount="253">
  <si>
    <t xml:space="preserve">Tax Equity Flip Model — 100 MW Utility-Scale Solar</t>
  </si>
  <si>
    <t xml:space="preserve">FINAMODEL.com</t>
  </si>
  <si>
    <t xml:space="preserve">Prepared by: Financial Modeller</t>
  </si>
  <si>
    <t xml:space="preserve">Date: 2026-05-16</t>
  </si>
  <si>
    <t xml:space="preserve">TABLE OF CONTENTS</t>
  </si>
  <si>
    <t xml:space="preserve">1. Cover</t>
  </si>
  <si>
    <t xml:space="preserve">Title page and table of contents</t>
  </si>
  <si>
    <t xml:space="preserve">2. Assumptions</t>
  </si>
  <si>
    <t xml:space="preserve">All model inputs and named ranges</t>
  </si>
  <si>
    <t xml:space="preserve">3. Sources_Uses</t>
  </si>
  <si>
    <t xml:space="preserve">Capital structure: sources vs. uses of funds</t>
  </si>
  <si>
    <t xml:space="preserve">4. Generation</t>
  </si>
  <si>
    <t xml:space="preserve">Annual energy production calculation (25 years)</t>
  </si>
  <si>
    <t xml:space="preserve">5. Revenue</t>
  </si>
  <si>
    <t xml:space="preserve">PPA and REC revenue build</t>
  </si>
  <si>
    <t xml:space="preserve">6. OpEx</t>
  </si>
  <si>
    <t xml:space="preserve">Operating expenses and maintenance capex</t>
  </si>
  <si>
    <t xml:space="preserve">7. Depreciation_Tax</t>
  </si>
  <si>
    <t xml:space="preserve">MACRS depreciation, NOL tracking, cash tax</t>
  </si>
  <si>
    <t xml:space="preserve">8. Debt_Schedule</t>
  </si>
  <si>
    <t xml:space="preserve">Senior debt amortisation and DSCR</t>
  </si>
  <si>
    <t xml:space="preserve">9. Cash_Waterfall</t>
  </si>
  <si>
    <t xml:space="preserve">Cash flow from revenue to distributions</t>
  </si>
  <si>
    <t xml:space="preserve">10. Flip_Analysis</t>
  </si>
  <si>
    <t xml:space="preserve">Tax equity flip mechanics and investor returns</t>
  </si>
  <si>
    <t xml:space="preserve">11. Returns</t>
  </si>
  <si>
    <t xml:space="preserve">IRR, LCOE, and return summary</t>
  </si>
  <si>
    <t xml:space="preserve">12. Checks</t>
  </si>
  <si>
    <t xml:space="preserve">Model validation checks</t>
  </si>
  <si>
    <t xml:space="preserve">About this model</t>
  </si>
  <si>
    <t xml:space="preserve">Model a tax equity partnership structure for a 100 MW utility-scale solar project: the tax equity investor harvests 99% of Investment Tax Credits (ITC) and MACRS depreciation pre-flip, then shifts to a 5% allocation post-flip once achieving a target IRR (typically 7%). The model projects 25-year cash flows, tracks MACRS depreciation over 6 periods (20%+32%+19.2% rates), manages Net Operating Loss (NOL) carry-forwards, and calculates cash distributions by partner.
Key outputs include ITC capture ($30M on a $100M eligible basis), MACRS deductions ($85M depreciable basis after ITC basis reduction), and debt service coverage ratios (DSCR) showing minimum 1.50x during the 18-year loan tenor. The cash waterfall applies operations (PPA + REC revenue less O&amp;M) to debt service and then to partners based on pre/post-flip allocations. The flip mechanics use a non-circular formula that checks the prior-year cumulative distribution, avoiding the circular references common in earlier versions.
Returns analysis shows tax equity IRR (7.1%), project unlevered IRR (8.5%), and LCOE ($25/MWh at 7% discount rate). This structure is dominant in US renewable energy financing and allows sponsors to monetize tax benefits with insufficient tax appetite.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</si>
  <si>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</si>
  <si>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</si>
  <si>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</si>
  <si>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</si>
  <si>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PROJECT &amp; GENERATION</t>
  </si>
  <si>
    <t xml:space="preserve">Capacity (MWac)</t>
  </si>
  <si>
    <t xml:space="preserve">MWac</t>
  </si>
  <si>
    <t xml:space="preserve">Capacity Factor</t>
  </si>
  <si>
    <t xml:space="preserve">Degradation Rate (annual)</t>
  </si>
  <si>
    <t xml:space="preserve">%/yr</t>
  </si>
  <si>
    <t xml:space="preserve">Availability</t>
  </si>
  <si>
    <t xml:space="preserve">Project Life (years)</t>
  </si>
  <si>
    <t xml:space="preserve">years</t>
  </si>
  <si>
    <t xml:space="preserve">REVENUE</t>
  </si>
  <si>
    <t xml:space="preserve">PPA Price Year 1 ($/MWh)</t>
  </si>
  <si>
    <t xml:space="preserve">$/MWh</t>
  </si>
  <si>
    <t xml:space="preserve">PPA Escalation</t>
  </si>
  <si>
    <t xml:space="preserve">REC Price ($/MWh)</t>
  </si>
  <si>
    <t xml:space="preserve">OPERATING EXPENSES</t>
  </si>
  <si>
    <t xml:space="preserve">O&amp;M per MW ($/MW/yr)</t>
  </si>
  <si>
    <t xml:space="preserve">$/MW</t>
  </si>
  <si>
    <t xml:space="preserve">Insurance per MW ($/MW/yr)</t>
  </si>
  <si>
    <t xml:space="preserve">Land Lease per MW ($/MW/yr)</t>
  </si>
  <si>
    <t xml:space="preserve">Asset Mgmt per MW ($/MW/yr)</t>
  </si>
  <si>
    <t xml:space="preserve">OpEx Inflation</t>
  </si>
  <si>
    <t xml:space="preserve">Maint. Capex per MW ($/MW/yr)</t>
  </si>
  <si>
    <t xml:space="preserve">CAPITAL COSTS</t>
  </si>
  <si>
    <t xml:space="preserve">EPC Cost ($)</t>
  </si>
  <si>
    <t xml:space="preserve">$</t>
  </si>
  <si>
    <t xml:space="preserve">Development Cost ($)</t>
  </si>
  <si>
    <t xml:space="preserve">Reserves ($)</t>
  </si>
  <si>
    <t xml:space="preserve">Financing Fees ($)</t>
  </si>
  <si>
    <t xml:space="preserve">Eligible Basis ($)</t>
  </si>
  <si>
    <t xml:space="preserve">Total Project Cost ($)</t>
  </si>
  <si>
    <t xml:space="preserve">DEBT</t>
  </si>
  <si>
    <t xml:space="preserve">Debt % of TPC</t>
  </si>
  <si>
    <t xml:space="preserve">Debt Amount ($)</t>
  </si>
  <si>
    <t xml:space="preserve">Interest Rate</t>
  </si>
  <si>
    <t xml:space="preserve">Debt Tenor (years)</t>
  </si>
  <si>
    <t xml:space="preserve">TAX EQUITY</t>
  </si>
  <si>
    <t xml:space="preserve">TE % of TPC</t>
  </si>
  <si>
    <t xml:space="preserve">TE Investment ($)</t>
  </si>
  <si>
    <t xml:space="preserve">Sponsor Equity ($)</t>
  </si>
  <si>
    <t xml:space="preserve">TE Tax Share (Pre-Flip)</t>
  </si>
  <si>
    <t xml:space="preserve">TE Cash Share (Pre-Flip)</t>
  </si>
  <si>
    <t xml:space="preserve">TE Tax Share (Post-Flip)</t>
  </si>
  <si>
    <t xml:space="preserve">TE Cash Share (Post-Flip)</t>
  </si>
  <si>
    <t xml:space="preserve">TE Flip Target Multiplier</t>
  </si>
  <si>
    <t xml:space="preserve">x</t>
  </si>
  <si>
    <t xml:space="preserve">TE Target Yield</t>
  </si>
  <si>
    <t xml:space="preserve">TE Flip Target ($)</t>
  </si>
  <si>
    <t xml:space="preserve">TAX</t>
  </si>
  <si>
    <t xml:space="preserve">Federal Tax Rate</t>
  </si>
  <si>
    <t xml:space="preserve">State Tax Rate</t>
  </si>
  <si>
    <t xml:space="preserve">Combined Tax Rate</t>
  </si>
  <si>
    <t xml:space="preserve">ITC Rate</t>
  </si>
  <si>
    <t xml:space="preserve">ITC Amount ($)</t>
  </si>
  <si>
    <t xml:space="preserve">MACRS Basis ($)</t>
  </si>
  <si>
    <t xml:space="preserve">MACRS Rate Year 1</t>
  </si>
  <si>
    <t xml:space="preserve">MACRS Rate Year 2</t>
  </si>
  <si>
    <t xml:space="preserve">MACRS Rate Year 3</t>
  </si>
  <si>
    <t xml:space="preserve">MACRS Rate Year 4</t>
  </si>
  <si>
    <t xml:space="preserve">MACRS Rate Year 5</t>
  </si>
  <si>
    <t xml:space="preserve">MACRS Rate Year 6</t>
  </si>
  <si>
    <t xml:space="preserve">OTHER</t>
  </si>
  <si>
    <t xml:space="preserve">Discount Rate</t>
  </si>
  <si>
    <t xml:space="preserve">SOURCES &amp; USES</t>
  </si>
  <si>
    <t xml:space="preserve">USES</t>
  </si>
  <si>
    <t xml:space="preserve">EPC Cost</t>
  </si>
  <si>
    <t xml:space="preserve">Development Cost</t>
  </si>
  <si>
    <t xml:space="preserve">Reserves</t>
  </si>
  <si>
    <t xml:space="preserve">Financing Fees</t>
  </si>
  <si>
    <t xml:space="preserve">Total Uses</t>
  </si>
  <si>
    <t xml:space="preserve">SOURCES</t>
  </si>
  <si>
    <t xml:space="preserve">Senior Debt</t>
  </si>
  <si>
    <t xml:space="preserve">Tax Equity</t>
  </si>
  <si>
    <t xml:space="preserve">Sponsor Equity</t>
  </si>
  <si>
    <t xml:space="preserve">Total Sources</t>
  </si>
  <si>
    <t xml:space="preserve">Sources = Uses Check</t>
  </si>
  <si>
    <t xml:space="preserve">ITC / MACRS ELIGIBLE BASIS</t>
  </si>
  <si>
    <t xml:space="preserve">Eligible Basis (EPC + Dev)</t>
  </si>
  <si>
    <t xml:space="preserve">ITC Amount (30%)</t>
  </si>
  <si>
    <t xml:space="preserve">MACRS Basis (Elig - 0.5*ITC)</t>
  </si>
  <si>
    <t xml:space="preserve">Year</t>
  </si>
  <si>
    <t xml:space="preserve">Annual Energy Production (MWh)</t>
  </si>
  <si>
    <t xml:space="preserve">Gross Generation (MWh)</t>
  </si>
  <si>
    <t xml:space="preserve">Cumulative Degradation Factor</t>
  </si>
  <si>
    <t xml:space="preserve">Net Generation — after degradation (MWh)</t>
  </si>
  <si>
    <t xml:space="preserve">Availability Factor</t>
  </si>
  <si>
    <t xml:space="preserve">Exported Generation (MWh)</t>
  </si>
  <si>
    <t xml:space="preserve">REVENUE BUILD</t>
  </si>
  <si>
    <t xml:space="preserve">PPA Price ($/MWh)</t>
  </si>
  <si>
    <t xml:space="preserve">PPA Revenue ($)</t>
  </si>
  <si>
    <t xml:space="preserve">REC Revenue ($)</t>
  </si>
  <si>
    <t xml:space="preserve">Total Revenue ($)</t>
  </si>
  <si>
    <t xml:space="preserve">OPERATING EXPENSES (negative = outflow)</t>
  </si>
  <si>
    <t xml:space="preserve">O&amp;M Cost ($)</t>
  </si>
  <si>
    <t xml:space="preserve">Insurance Cost ($)</t>
  </si>
  <si>
    <t xml:space="preserve">Land Lease Cost ($)</t>
  </si>
  <si>
    <t xml:space="preserve">Asset Management Cost ($)</t>
  </si>
  <si>
    <t xml:space="preserve">Total OpEx ($)</t>
  </si>
  <si>
    <t xml:space="preserve">MAINTENANCE CAPEX (separate from OpEx)</t>
  </si>
  <si>
    <t xml:space="preserve">Maintenance Capex ($)</t>
  </si>
  <si>
    <t xml:space="preserve">DEBT SCHEDULE</t>
  </si>
  <si>
    <t xml:space="preserve">Debt Opening Balance ($)</t>
  </si>
  <si>
    <t xml:space="preserve">Principal Repayment ($)</t>
  </si>
  <si>
    <t xml:space="preserve">Interest Expense ($)</t>
  </si>
  <si>
    <t xml:space="preserve">Debt Closing Balance ($)</t>
  </si>
  <si>
    <t xml:space="preserve">DSCR</t>
  </si>
  <si>
    <t xml:space="preserve">CFADS ($) [linked from Cash_Waterfall]</t>
  </si>
  <si>
    <t xml:space="preserve">Total Debt Service ($)</t>
  </si>
  <si>
    <t xml:space="preserve">MACRS DEPRECIATION</t>
  </si>
  <si>
    <t xml:space="preserve">MACRS Rate</t>
  </si>
  <si>
    <t xml:space="preserve">MACRS Depreciation ($)</t>
  </si>
  <si>
    <t xml:space="preserve">TAXABLE INCOME</t>
  </si>
  <si>
    <t xml:space="preserve">Revenue ($)</t>
  </si>
  <si>
    <t xml:space="preserve">MACRS Depreciation — ref ($)</t>
  </si>
  <si>
    <t xml:space="preserve">Taxable Income Before NOL ($)</t>
  </si>
  <si>
    <t xml:space="preserve">NOL TRACKING</t>
  </si>
  <si>
    <t xml:space="preserve">NOL Opening Balance ($)</t>
  </si>
  <si>
    <t xml:space="preserve">New NOL Generated ($)</t>
  </si>
  <si>
    <t xml:space="preserve">NOL Utilised ($)</t>
  </si>
  <si>
    <t xml:space="preserve">NOL Closing Balance ($)</t>
  </si>
  <si>
    <t xml:space="preserve">CASH TAX</t>
  </si>
  <si>
    <t xml:space="preserve">Adjusted Taxable Income (after NOL, $)</t>
  </si>
  <si>
    <t xml:space="preserve">Cash Tax ($)</t>
  </si>
  <si>
    <t xml:space="preserve">EBITDA ($)</t>
  </si>
  <si>
    <t xml:space="preserve">MAINTENANCE CAPEX</t>
  </si>
  <si>
    <t xml:space="preserve">CASH TAX (informational — applied at partner level)</t>
  </si>
  <si>
    <t xml:space="preserve">Cash Tax — partnership level (info only) ($)</t>
  </si>
  <si>
    <t xml:space="preserve">CFADS ($) [pre-partner-tax]</t>
  </si>
  <si>
    <t xml:space="preserve">DEBT SERVICE</t>
  </si>
  <si>
    <t xml:space="preserve">CAFD ($)</t>
  </si>
  <si>
    <t xml:space="preserve">DISTRIBUTIONS</t>
  </si>
  <si>
    <t xml:space="preserve">TE Cash Distribution ($)</t>
  </si>
  <si>
    <t xml:space="preserve">Sponsor Cash Distribution ($)</t>
  </si>
  <si>
    <t xml:space="preserve">FLIP MECHANIC</t>
  </si>
  <si>
    <t xml:space="preserve">Flip Flag (0=Pre-Flip, 1=Post-Flip)</t>
  </si>
  <si>
    <t xml:space="preserve">TE Tax Share</t>
  </si>
  <si>
    <t xml:space="preserve">TE Cash Share</t>
  </si>
  <si>
    <t xml:space="preserve">Sponsor Tax Share</t>
  </si>
  <si>
    <t xml:space="preserve">Sponsor Cash Share</t>
  </si>
  <si>
    <t xml:space="preserve">TAX EQUITY CASH FLOWS</t>
  </si>
  <si>
    <t xml:space="preserve">ITC Allocated to TE ($)</t>
  </si>
  <si>
    <t xml:space="preserve">TE Tax Allocation ($)</t>
  </si>
  <si>
    <t xml:space="preserve">  TE NOL Opening ($)</t>
  </si>
  <si>
    <t xml:space="preserve">  TE New NOL ($)</t>
  </si>
  <si>
    <t xml:space="preserve">  TE NOL Utilised ($)</t>
  </si>
  <si>
    <t xml:space="preserve">  TE NOL Closing ($)</t>
  </si>
  <si>
    <t xml:space="preserve">TE Adjusted Allocation (post-NOL, $)</t>
  </si>
  <si>
    <t xml:space="preserve">TE Tax Benefit / (Cost) ($)</t>
  </si>
  <si>
    <t xml:space="preserve">TE Total Cash Flow ($)</t>
  </si>
  <si>
    <t xml:space="preserve">TE Cumulative Cash Flow ($)</t>
  </si>
  <si>
    <t xml:space="preserve">Running TE IRR (pre-tax-rate cf)</t>
  </si>
  <si>
    <t xml:space="preserve">SPONSOR CASH FLOWS</t>
  </si>
  <si>
    <t xml:space="preserve">Sponsor Tax Allocation ($)</t>
  </si>
  <si>
    <t xml:space="preserve">  Sponsor NOL Opening ($)</t>
  </si>
  <si>
    <t xml:space="preserve">  Sponsor New NOL ($)</t>
  </si>
  <si>
    <t xml:space="preserve">  Sponsor NOL Utilised ($)</t>
  </si>
  <si>
    <t xml:space="preserve">  Sponsor NOL Closing ($)</t>
  </si>
  <si>
    <t xml:space="preserve">Sponsor Adjusted Allocation (post-NOL, $)</t>
  </si>
  <si>
    <t xml:space="preserve">Sponsor Tax Benefit / (Cost) ($)</t>
  </si>
  <si>
    <t xml:space="preserve">Sponsor Total Cash Flow ($)</t>
  </si>
  <si>
    <t xml:space="preserve">Sponsor Cumulative Cash Flow ($)</t>
  </si>
  <si>
    <t xml:space="preserve">TE Target Yield (flip trigger)</t>
  </si>
  <si>
    <t xml:space="preserve">Year 0</t>
  </si>
  <si>
    <t xml:space="preserve">PROJECT RETURNS (UNLEVERED)</t>
  </si>
  <si>
    <t xml:space="preserve">Project Cash Flow ($)</t>
  </si>
  <si>
    <t xml:space="preserve">Project IRR (Unlevered, pre-tax)</t>
  </si>
  <si>
    <t xml:space="preserve">TAX EQUITY RETURNS</t>
  </si>
  <si>
    <t xml:space="preserve">TE Cash Flow ($)</t>
  </si>
  <si>
    <t xml:space="preserve">TE After-Tax IRR</t>
  </si>
  <si>
    <t xml:space="preserve">TE Target Yield (reference)</t>
  </si>
  <si>
    <t xml:space="preserve">Flip Year</t>
  </si>
  <si>
    <t xml:space="preserve">SPONSOR RETURNS</t>
  </si>
  <si>
    <t xml:space="preserve">Sponsor Cash Flow (cash + tax benefit, $)</t>
  </si>
  <si>
    <t xml:space="preserve">Sponsor After-Tax IRR</t>
  </si>
  <si>
    <t xml:space="preserve">LCOE (Levelized Cost of Energy)</t>
  </si>
  <si>
    <t xml:space="preserve">Gross LCOE (pre-tax, pre-ITC, $/MWh)</t>
  </si>
  <si>
    <t xml:space="preserve">[Helper] Annual Cost Stream — opex+maint ($)</t>
  </si>
  <si>
    <t xml:space="preserve">[Helper] Annual Generation (MWh)</t>
  </si>
  <si>
    <t xml:space="preserve">[Helper] PV of Gross Costs ($)</t>
  </si>
  <si>
    <t xml:space="preserve">[Helper] PV of Generation (MWh)</t>
  </si>
  <si>
    <t xml:space="preserve">AFTER-TAX LCOE (net of ITC + MACRS shield)</t>
  </si>
  <si>
    <t xml:space="preserve">Net Investment (TPC − ITC) ($)</t>
  </si>
  <si>
    <t xml:space="preserve">[Helper] After-Tax Cost Stream ($)</t>
  </si>
  <si>
    <t xml:space="preserve">[Helper] Annual MACRS Tax Shield ($, positive)</t>
  </si>
  <si>
    <t xml:space="preserve">[Helper] PV of After-Tax OpEx ($)</t>
  </si>
  <si>
    <t xml:space="preserve">[Helper] PV of MACRS Tax Shield ($)</t>
  </si>
  <si>
    <t xml:space="preserve">After-Tax LCOE ($/MWh)</t>
  </si>
  <si>
    <t xml:space="preserve">Discount rate used:</t>
  </si>
  <si>
    <t xml:space="preserve">MODEL CHECKS</t>
  </si>
  <si>
    <t xml:space="preserve">Check</t>
  </si>
  <si>
    <t xml:space="preserve">Value</t>
  </si>
  <si>
    <t xml:space="preserve">Status</t>
  </si>
  <si>
    <t xml:space="preserve">1. Sources = Uses</t>
  </si>
  <si>
    <t xml:space="preserve">2. Min DSCR &gt;= 1.20x (Years 1-18)</t>
  </si>
  <si>
    <t xml:space="preserve">3. Debt Balance = $0 at Year 18</t>
  </si>
  <si>
    <t xml:space="preserve">4. MACRS Sum = MACRS Basis</t>
  </si>
  <si>
    <t xml:space="preserve">5. NOL Closing &gt;= $0 all years</t>
  </si>
  <si>
    <t xml:space="preserve">6. Cash Tax outflow only (never a refund)</t>
  </si>
  <si>
    <t xml:space="preserve">7. Flip Flag Non-Decreasing</t>
  </si>
  <si>
    <t xml:space="preserve">8. Eligible Basis &lt; Total Project Cost</t>
  </si>
  <si>
    <t xml:space="preserve">9. CFADS &gt; $0 all years</t>
  </si>
  <si>
    <t xml:space="preserve">10. TE Cumulative Dist &gt; TE Investment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</si>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</sst>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
    <numFmt numFmtId="166" formatCode="#,##0.0"/>
    <numFmt numFmtId="167" formatCode="0.00%"/>
    <numFmt numFmtId="168" formatCode="0"/>
    <numFmt numFmtId="169" formatCode="#,##0.00"/>
    <numFmt numFmtId="170" formatCode="0.00\x"/>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6"/>
      <color theme="0"/>
      <name val="Arial"/>
      <family val="0"/>
      <charset val="1"/>
    </font>
    <font>
      <b val="true"/>
      <u val="single"/>
      <sz val="11"/>
      <color theme="0"/>
      <name val="Arial"/>
      <family val="0"/>
      <charset val="1"/>
    </font>
    <font>
      <sz val="11"/>
      <color theme="1"/>
      <name val="Arial"/>
      <family val="0"/>
      <charset val="1"/>
    </font>
    <font>
      <sz val="11"/>
      <color rgb="FF000000"/>
      <name val="Arial"/>
      <family val="0"/>
      <charset val="1"/>
    </font>
    <font>
      <b val="true"/>
      <sz val="11"/>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9">
    <fill>
      <patternFill patternType="none"/>
    </fill>
    <fill>
      <patternFill patternType="gray125"/>
    </fill>
    <fill>
      <patternFill patternType="solid">
        <fgColor theme="3"/>
        <bgColor rgb="FF1F4E79"/>
      </patternFill>
    </fill>
    <fill>
      <patternFill patternType="solid">
        <fgColor rgb="FFD9D9D9"/>
        <bgColor rgb="FFD6E4F0"/>
      </patternFill>
    </fill>
    <fill>
      <patternFill patternType="solid">
        <fgColor rgb="FFD6E4F0"/>
        <bgColor rgb="FFD9D9D9"/>
      </patternFill>
    </fill>
    <fill>
      <patternFill patternType="solid">
        <fgColor rgb="FFFFF2CC"/>
        <bgColor rgb="FFF2F2F2"/>
      </patternFill>
    </fill>
    <fill>
      <patternFill patternType="solid">
        <fgColor rgb="FFFFFFFF"/>
        <bgColor rgb="FFF2F2F2"/>
      </patternFill>
    </fill>
    <fill>
      <patternFill patternType="solid">
        <fgColor rgb="FF1F4E79"/>
        <bgColor rgb="FF1F497D"/>
      </patternFill>
    </fill>
    <fill>
      <patternFill patternType="solid">
        <fgColor rgb="FFF2F2F2"/>
        <bgColor rgb="FFFFFFFF"/>
      </patternFill>
    </fill>
  </fills>
  <borders count="3">
    <border diagonalUp="false" diagonalDown="false">
      <left/>
      <right/>
      <top/>
      <bottom/>
      <diagonal/>
    </border>
    <border diagonalUp="false" diagonalDown="false">
      <left/>
      <right/>
      <top style="thin"/>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5" fontId="10" fillId="0" borderId="0" xfId="0" applyFont="true" applyBorder="false" applyAlignment="true" applyProtection="false">
      <alignment horizontal="left" vertical="center" textRotation="0" wrapText="false" indent="0" shrinkToFit="false"/>
      <protection locked="true" hidden="false"/>
    </xf>
    <xf numFmtId="164" fontId="11" fillId="4" borderId="0" xfId="0" applyFont="true" applyBorder="false" applyAlignment="true" applyProtection="false">
      <alignment horizontal="left"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6" fontId="9" fillId="5" borderId="0" xfId="0" applyFont="true" applyBorder="false" applyAlignment="true" applyProtection="false">
      <alignment horizontal="right" vertical="center" textRotation="0" wrapText="false" indent="0" shrinkToFit="false"/>
      <protection locked="true" hidden="false"/>
    </xf>
    <xf numFmtId="167" fontId="9" fillId="5" borderId="0" xfId="0" applyFont="true" applyBorder="false" applyAlignment="true" applyProtection="false">
      <alignment horizontal="right" vertical="center" textRotation="0" wrapText="false" indent="0" shrinkToFit="false"/>
      <protection locked="true" hidden="false"/>
    </xf>
    <xf numFmtId="168" fontId="9" fillId="5" borderId="0" xfId="0" applyFont="true" applyBorder="false" applyAlignment="true" applyProtection="false">
      <alignment horizontal="right" vertical="center" textRotation="0" wrapText="false" indent="0" shrinkToFit="false"/>
      <protection locked="true" hidden="false"/>
    </xf>
    <xf numFmtId="169" fontId="9" fillId="5" borderId="0" xfId="0" applyFont="true" applyBorder="false" applyAlignment="true" applyProtection="false">
      <alignment horizontal="right" vertical="center" textRotation="0" wrapText="false" indent="0" shrinkToFit="false"/>
      <protection locked="true" hidden="false"/>
    </xf>
    <xf numFmtId="169" fontId="9" fillId="6" borderId="0" xfId="0" applyFont="true" applyBorder="false" applyAlignment="true" applyProtection="false">
      <alignment horizontal="right" vertical="center" textRotation="0" wrapText="false" indent="0" shrinkToFit="false"/>
      <protection locked="true" hidden="false"/>
    </xf>
    <xf numFmtId="167" fontId="9" fillId="6" borderId="0" xfId="0" applyFont="true" applyBorder="false" applyAlignment="true" applyProtection="false">
      <alignment horizontal="right" vertical="center" textRotation="0" wrapText="false" indent="0" shrinkToFit="false"/>
      <protection locked="true" hidden="false"/>
    </xf>
    <xf numFmtId="165" fontId="10" fillId="3" borderId="0" xfId="0" applyFont="true" applyBorder="false" applyAlignment="true" applyProtection="false">
      <alignment horizontal="left" vertical="center" textRotation="0" wrapText="false" indent="0" shrinkToFit="false"/>
      <protection locked="true" hidden="false"/>
    </xf>
    <xf numFmtId="169" fontId="10" fillId="6" borderId="0" xfId="0" applyFont="true" applyBorder="false" applyAlignment="true" applyProtection="false">
      <alignment horizontal="right" vertical="center" textRotation="0" wrapText="false" indent="0" shrinkToFit="false"/>
      <protection locked="true" hidden="false"/>
    </xf>
    <xf numFmtId="167" fontId="10" fillId="6" borderId="0" xfId="0" applyFont="true" applyBorder="false" applyAlignment="true" applyProtection="false">
      <alignment horizontal="right" vertical="center" textRotation="0" wrapText="false" indent="0" shrinkToFit="false"/>
      <protection locked="true" hidden="false"/>
    </xf>
    <xf numFmtId="165" fontId="10" fillId="6" borderId="0" xfId="0" applyFont="true" applyBorder="false" applyAlignment="true" applyProtection="false">
      <alignment horizontal="center" vertical="center" textRotation="0" wrapText="false" indent="0" shrinkToFit="false"/>
      <protection locked="true" hidden="false"/>
    </xf>
    <xf numFmtId="165" fontId="16" fillId="2" borderId="0" xfId="0" applyFont="true" applyBorder="false" applyAlignment="true" applyProtection="false">
      <alignment horizontal="center" vertical="center" textRotation="0" wrapText="false" indent="0" shrinkToFit="false"/>
      <protection locked="true" hidden="false"/>
    </xf>
    <xf numFmtId="168" fontId="16" fillId="2"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9" fontId="10"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9" fontId="10" fillId="0"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8" fontId="10" fillId="6" borderId="0" xfId="0" applyFont="true" applyBorder="false" applyAlignment="true" applyProtection="false">
      <alignment horizontal="right" vertical="center" textRotation="0" wrapText="false" indent="0" shrinkToFit="false"/>
      <protection locked="true" hidden="false"/>
    </xf>
    <xf numFmtId="166" fontId="10" fillId="6" borderId="0" xfId="0" applyFont="true" applyBorder="false" applyAlignment="true" applyProtection="false">
      <alignment horizontal="right"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false" indent="0" shrinkToFit="false"/>
      <protection locked="true" hidden="false"/>
    </xf>
    <xf numFmtId="165" fontId="9" fillId="6" borderId="0" xfId="0" applyFont="true" applyBorder="false" applyAlignment="true" applyProtection="false">
      <alignment horizontal="center" vertical="center" textRotation="0" wrapText="false" indent="0" shrinkToFit="false"/>
      <protection locked="true" hidden="false"/>
    </xf>
    <xf numFmtId="170" fontId="9" fillId="6" borderId="0" xfId="0" applyFont="true" applyBorder="false" applyAlignment="true" applyProtection="false">
      <alignment horizontal="right" vertical="center" textRotation="0" wrapText="false" indent="0" shrinkToFit="false"/>
      <protection locked="true" hidden="false"/>
    </xf>
    <xf numFmtId="165" fontId="9" fillId="6"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18" fillId="7"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1" fillId="8"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006100"/>
        <sz val="11"/>
      </font>
      <fill>
        <patternFill>
          <bgColor rgb="FFC6EFCE"/>
        </patternFill>
      </fill>
    </dxf>
    <dxf>
      <font>
        <name val="Arial"/>
        <charset val="1"/>
        <family val="0"/>
        <b val="1"/>
        <color rgb="FF9C0006"/>
        <sz val="11"/>
      </font>
      <fill>
        <patternFill>
          <bgColor rgb="FFFFC7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D9D9D9"/>
      <rgbColor rgb="FF808080"/>
      <rgbColor rgb="FF9999FF"/>
      <rgbColor rgb="FF993366"/>
      <rgbColor rgb="FFFFF2CC"/>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969696"/>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2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30"/>
    <col collapsed="false" customWidth="true" hidden="false" outlineLevel="0" max="3" min="3" style="0" width="5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6" t="s">
        <v>2</v>
      </c>
      <c r="C4" s="5"/>
    </row>
    <row r="5" customFormat="false" ht="15" hidden="false" customHeight="false" outlineLevel="0" collapsed="false">
      <c r="A5" s="5"/>
      <c r="B5" s="6" t="s">
        <v>3</v>
      </c>
      <c r="C5" s="5"/>
    </row>
    <row r="6" customFormat="false" ht="15" hidden="false" customHeight="false" outlineLevel="0" collapsed="false">
      <c r="A6" s="5"/>
      <c r="B6" s="5"/>
      <c r="C6" s="5"/>
    </row>
    <row r="7" customFormat="false" ht="15" hidden="false" customHeight="false" outlineLevel="0" collapsed="false">
      <c r="A7" s="5"/>
      <c r="B7" s="7" t="s">
        <v>4</v>
      </c>
      <c r="C7" s="5"/>
    </row>
    <row r="8" customFormat="false" ht="15" hidden="false" customHeight="false" outlineLevel="0" collapsed="false">
      <c r="A8" s="5"/>
      <c r="B8" s="5"/>
      <c r="C8" s="5"/>
    </row>
    <row r="9" customFormat="false" ht="15" hidden="false" customHeight="false" outlineLevel="0" collapsed="false">
      <c r="A9" s="5"/>
      <c r="B9" s="8" t="s">
        <v>5</v>
      </c>
      <c r="C9" s="6" t="s">
        <v>6</v>
      </c>
    </row>
    <row r="10" customFormat="false" ht="15" hidden="false" customHeight="false" outlineLevel="0" collapsed="false">
      <c r="A10" s="5"/>
      <c r="B10" s="8" t="s">
        <v>7</v>
      </c>
      <c r="C10" s="6" t="s">
        <v>8</v>
      </c>
    </row>
    <row r="11" customFormat="false" ht="15" hidden="false" customHeight="false" outlineLevel="0" collapsed="false">
      <c r="A11" s="5"/>
      <c r="B11" s="8" t="s">
        <v>9</v>
      </c>
      <c r="C11" s="6" t="s">
        <v>10</v>
      </c>
    </row>
    <row r="12" customFormat="false" ht="15" hidden="false" customHeight="false" outlineLevel="0" collapsed="false">
      <c r="A12" s="5"/>
      <c r="B12" s="8" t="s">
        <v>11</v>
      </c>
      <c r="C12" s="6" t="s">
        <v>12</v>
      </c>
    </row>
    <row r="13" customFormat="false" ht="15" hidden="false" customHeight="false" outlineLevel="0" collapsed="false">
      <c r="A13" s="5"/>
      <c r="B13" s="8" t="s">
        <v>13</v>
      </c>
      <c r="C13" s="6" t="s">
        <v>14</v>
      </c>
    </row>
    <row r="14" customFormat="false" ht="15" hidden="false" customHeight="false" outlineLevel="0" collapsed="false">
      <c r="A14" s="5"/>
      <c r="B14" s="8" t="s">
        <v>15</v>
      </c>
      <c r="C14" s="6" t="s">
        <v>16</v>
      </c>
    </row>
    <row r="15" customFormat="false" ht="15" hidden="false" customHeight="false" outlineLevel="0" collapsed="false">
      <c r="A15" s="5"/>
      <c r="B15" s="8" t="s">
        <v>17</v>
      </c>
      <c r="C15" s="6" t="s">
        <v>18</v>
      </c>
    </row>
    <row r="16" customFormat="false" ht="15" hidden="false" customHeight="false" outlineLevel="0" collapsed="false">
      <c r="A16" s="5"/>
      <c r="B16" s="8" t="s">
        <v>19</v>
      </c>
      <c r="C16" s="6" t="s">
        <v>20</v>
      </c>
    </row>
    <row r="17" customFormat="false" ht="15" hidden="false" customHeight="false" outlineLevel="0" collapsed="false">
      <c r="A17" s="5"/>
      <c r="B17" s="8" t="s">
        <v>21</v>
      </c>
      <c r="C17" s="6" t="s">
        <v>22</v>
      </c>
    </row>
    <row r="18" customFormat="false" ht="15" hidden="false" customHeight="false" outlineLevel="0" collapsed="false">
      <c r="A18" s="5"/>
      <c r="B18" s="8" t="s">
        <v>23</v>
      </c>
      <c r="C18" s="6" t="s">
        <v>24</v>
      </c>
    </row>
    <row r="19" customFormat="false" ht="15" hidden="false" customHeight="false" outlineLevel="0" collapsed="false">
      <c r="A19" s="5"/>
      <c r="B19" s="8" t="s">
        <v>25</v>
      </c>
      <c r="C19" s="6" t="s">
        <v>26</v>
      </c>
    </row>
    <row r="20" customFormat="false" ht="15" hidden="false" customHeight="false" outlineLevel="0" collapsed="false">
      <c r="A20" s="5"/>
      <c r="B20" s="8" t="s">
        <v>27</v>
      </c>
      <c r="C20" s="6" t="s">
        <v>28</v>
      </c>
    </row>
    <row r="23" customFormat="false" ht="19.5" hidden="false" customHeight="true" outlineLevel="0" collapsed="false">
      <c r="B23" s="9" t="s">
        <v>29</v>
      </c>
      <c r="C23" s="10"/>
      <c r="D23" s="10"/>
      <c r="E23" s="10"/>
      <c r="F23" s="10"/>
      <c r="G23" s="10"/>
    </row>
    <row r="24" customFormat="false" ht="195.75" hidden="false" customHeight="true" outlineLevel="0" collapsed="false">
      <c r="B24" s="11" t="s">
        <v>30</v>
      </c>
      <c r="C24" s="11"/>
      <c r="D24" s="11"/>
      <c r="E24" s="11"/>
      <c r="F24" s="11"/>
      <c r="G24" s="11"/>
    </row>
    <row r="26" customFormat="false" ht="19.5" hidden="false" customHeight="true" outlineLevel="0" collapsed="false">
      <c r="B26" s="9" t="s">
        <v>31</v>
      </c>
      <c r="C26" s="10"/>
      <c r="D26" s="10"/>
      <c r="E26" s="10"/>
      <c r="F26" s="10"/>
      <c r="G26" s="10"/>
    </row>
    <row r="27" customFormat="false" ht="57" hidden="false" customHeight="true" outlineLevel="0" collapsed="false">
      <c r="B27" s="11" t="s">
        <v>32</v>
      </c>
      <c r="C27" s="11"/>
      <c r="D27" s="11"/>
      <c r="E27" s="11"/>
      <c r="F27" s="11"/>
      <c r="G27" s="11"/>
    </row>
    <row r="28" customFormat="false" ht="15" hidden="false" customHeight="false" outlineLevel="0" collapsed="false">
      <c r="B28" s="12" t="s">
        <v>33</v>
      </c>
      <c r="C28" s="12"/>
      <c r="D28" s="12"/>
      <c r="E28" s="12"/>
      <c r="F28" s="12"/>
      <c r="G28" s="12"/>
    </row>
    <row r="29" customFormat="false" ht="15" hidden="false" customHeight="false" outlineLevel="0" collapsed="false">
      <c r="B29" s="13" t="s">
        <v>34</v>
      </c>
    </row>
  </sheetData>
  <mergeCells count="3">
    <mergeCell ref="B24:G24"/>
    <mergeCell ref="B27:G27"/>
    <mergeCell ref="B28:G2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14"/>
    <col collapsed="false" customWidth="true" hidden="false" outlineLevel="0" max="2" min="2" style="0" width="42"/>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167</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9" t="s">
        <v>168</v>
      </c>
      <c r="C7" s="35" t="n">
        <v>0</v>
      </c>
      <c r="D7" s="35" t="n">
        <f aca="false">IF(C7=1,1,IF(C25&gt;=TE_Target_Yield,1,0))</f>
        <v>0</v>
      </c>
      <c r="E7" s="35" t="n">
        <f aca="false">IF(D7=1,1,IF(D25&gt;=TE_Target_Yield,1,0))</f>
        <v>0</v>
      </c>
      <c r="F7" s="35" t="n">
        <f aca="false">IF(E7=1,1,IF(E25&gt;=TE_Target_Yield,1,0))</f>
        <v>0</v>
      </c>
      <c r="G7" s="35" t="n">
        <f aca="false">IF(F7=1,1,IF(F25&gt;=TE_Target_Yield,1,0))</f>
        <v>1</v>
      </c>
      <c r="H7" s="35" t="n">
        <f aca="false">IF(G7=1,1,IF(G25&gt;=TE_Target_Yield,1,0))</f>
        <v>1</v>
      </c>
      <c r="I7" s="35" t="n">
        <f aca="false">IF(H7=1,1,IF(H25&gt;=TE_Target_Yield,1,0))</f>
        <v>1</v>
      </c>
      <c r="J7" s="35" t="n">
        <f aca="false">IF(I7=1,1,IF(I25&gt;=TE_Target_Yield,1,0))</f>
        <v>1</v>
      </c>
      <c r="K7" s="35" t="n">
        <f aca="false">IF(J7=1,1,IF(J25&gt;=TE_Target_Yield,1,0))</f>
        <v>1</v>
      </c>
      <c r="L7" s="35" t="n">
        <f aca="false">IF(K7=1,1,IF(K25&gt;=TE_Target_Yield,1,0))</f>
        <v>1</v>
      </c>
      <c r="M7" s="35" t="n">
        <f aca="false">IF(L7=1,1,IF(L25&gt;=TE_Target_Yield,1,0))</f>
        <v>1</v>
      </c>
      <c r="N7" s="35" t="n">
        <f aca="false">IF(M7=1,1,IF(M25&gt;=TE_Target_Yield,1,0))</f>
        <v>1</v>
      </c>
      <c r="O7" s="35" t="n">
        <f aca="false">IF(N7=1,1,IF(N25&gt;=TE_Target_Yield,1,0))</f>
        <v>1</v>
      </c>
      <c r="P7" s="35" t="n">
        <f aca="false">IF(O7=1,1,IF(O25&gt;=TE_Target_Yield,1,0))</f>
        <v>1</v>
      </c>
      <c r="Q7" s="35" t="n">
        <f aca="false">IF(P7=1,1,IF(P25&gt;=TE_Target_Yield,1,0))</f>
        <v>1</v>
      </c>
      <c r="R7" s="35" t="n">
        <f aca="false">IF(Q7=1,1,IF(Q25&gt;=TE_Target_Yield,1,0))</f>
        <v>1</v>
      </c>
      <c r="S7" s="35" t="n">
        <f aca="false">IF(R7=1,1,IF(R25&gt;=TE_Target_Yield,1,0))</f>
        <v>1</v>
      </c>
      <c r="T7" s="35" t="n">
        <f aca="false">IF(S7=1,1,IF(S25&gt;=TE_Target_Yield,1,0))</f>
        <v>1</v>
      </c>
      <c r="U7" s="35" t="n">
        <f aca="false">IF(T7=1,1,IF(T25&gt;=TE_Target_Yield,1,0))</f>
        <v>1</v>
      </c>
      <c r="V7" s="35" t="n">
        <f aca="false">IF(U7=1,1,IF(U25&gt;=TE_Target_Yield,1,0))</f>
        <v>1</v>
      </c>
      <c r="W7" s="35" t="n">
        <f aca="false">IF(V7=1,1,IF(V25&gt;=TE_Target_Yield,1,0))</f>
        <v>1</v>
      </c>
      <c r="X7" s="35" t="n">
        <f aca="false">IF(W7=1,1,IF(W25&gt;=TE_Target_Yield,1,0))</f>
        <v>1</v>
      </c>
      <c r="Y7" s="35" t="n">
        <f aca="false">IF(X7=1,1,IF(X25&gt;=TE_Target_Yield,1,0))</f>
        <v>1</v>
      </c>
      <c r="Z7" s="35" t="n">
        <f aca="false">IF(Y7=1,1,IF(Y25&gt;=TE_Target_Yield,1,0))</f>
        <v>1</v>
      </c>
      <c r="AA7" s="35" t="n">
        <f aca="false">IF(Z7=1,1,IF(Z25&gt;=TE_Target_Yield,1,0))</f>
        <v>1</v>
      </c>
    </row>
    <row r="8" customFormat="false" ht="15" hidden="false" customHeight="false" outlineLevel="0" collapsed="false">
      <c r="A8" s="5"/>
      <c r="B8" s="26" t="s">
        <v>169</v>
      </c>
      <c r="C8" s="28" t="n">
        <f aca="false">IF(C7=0,TE_Tax_Pre,TE_Tax_Post)</f>
        <v>0.99</v>
      </c>
      <c r="D8" s="28" t="n">
        <f aca="false">IF(D7=0,TE_Tax_Pre,TE_Tax_Post)</f>
        <v>0.99</v>
      </c>
      <c r="E8" s="28" t="n">
        <f aca="false">IF(E7=0,TE_Tax_Pre,TE_Tax_Post)</f>
        <v>0.99</v>
      </c>
      <c r="F8" s="28" t="n">
        <f aca="false">IF(F7=0,TE_Tax_Pre,TE_Tax_Post)</f>
        <v>0.99</v>
      </c>
      <c r="G8" s="28" t="n">
        <f aca="false">IF(G7=0,TE_Tax_Pre,TE_Tax_Post)</f>
        <v>0.05</v>
      </c>
      <c r="H8" s="28" t="n">
        <f aca="false">IF(H7=0,TE_Tax_Pre,TE_Tax_Post)</f>
        <v>0.05</v>
      </c>
      <c r="I8" s="28" t="n">
        <f aca="false">IF(I7=0,TE_Tax_Pre,TE_Tax_Post)</f>
        <v>0.05</v>
      </c>
      <c r="J8" s="28" t="n">
        <f aca="false">IF(J7=0,TE_Tax_Pre,TE_Tax_Post)</f>
        <v>0.05</v>
      </c>
      <c r="K8" s="28" t="n">
        <f aca="false">IF(K7=0,TE_Tax_Pre,TE_Tax_Post)</f>
        <v>0.05</v>
      </c>
      <c r="L8" s="28" t="n">
        <f aca="false">IF(L7=0,TE_Tax_Pre,TE_Tax_Post)</f>
        <v>0.05</v>
      </c>
      <c r="M8" s="28" t="n">
        <f aca="false">IF(M7=0,TE_Tax_Pre,TE_Tax_Post)</f>
        <v>0.05</v>
      </c>
      <c r="N8" s="28" t="n">
        <f aca="false">IF(N7=0,TE_Tax_Pre,TE_Tax_Post)</f>
        <v>0.05</v>
      </c>
      <c r="O8" s="28" t="n">
        <f aca="false">IF(O7=0,TE_Tax_Pre,TE_Tax_Post)</f>
        <v>0.05</v>
      </c>
      <c r="P8" s="28" t="n">
        <f aca="false">IF(P7=0,TE_Tax_Pre,TE_Tax_Post)</f>
        <v>0.05</v>
      </c>
      <c r="Q8" s="28" t="n">
        <f aca="false">IF(Q7=0,TE_Tax_Pre,TE_Tax_Post)</f>
        <v>0.05</v>
      </c>
      <c r="R8" s="28" t="n">
        <f aca="false">IF(R7=0,TE_Tax_Pre,TE_Tax_Post)</f>
        <v>0.05</v>
      </c>
      <c r="S8" s="28" t="n">
        <f aca="false">IF(S7=0,TE_Tax_Pre,TE_Tax_Post)</f>
        <v>0.05</v>
      </c>
      <c r="T8" s="28" t="n">
        <f aca="false">IF(T7=0,TE_Tax_Pre,TE_Tax_Post)</f>
        <v>0.05</v>
      </c>
      <c r="U8" s="28" t="n">
        <f aca="false">IF(U7=0,TE_Tax_Pre,TE_Tax_Post)</f>
        <v>0.05</v>
      </c>
      <c r="V8" s="28" t="n">
        <f aca="false">IF(V7=0,TE_Tax_Pre,TE_Tax_Post)</f>
        <v>0.05</v>
      </c>
      <c r="W8" s="28" t="n">
        <f aca="false">IF(W7=0,TE_Tax_Pre,TE_Tax_Post)</f>
        <v>0.05</v>
      </c>
      <c r="X8" s="28" t="n">
        <f aca="false">IF(X7=0,TE_Tax_Pre,TE_Tax_Post)</f>
        <v>0.05</v>
      </c>
      <c r="Y8" s="28" t="n">
        <f aca="false">IF(Y7=0,TE_Tax_Pre,TE_Tax_Post)</f>
        <v>0.05</v>
      </c>
      <c r="Z8" s="28" t="n">
        <f aca="false">IF(Z7=0,TE_Tax_Pre,TE_Tax_Post)</f>
        <v>0.05</v>
      </c>
      <c r="AA8" s="28" t="n">
        <f aca="false">IF(AA7=0,TE_Tax_Pre,TE_Tax_Post)</f>
        <v>0.05</v>
      </c>
    </row>
    <row r="9" customFormat="false" ht="15" hidden="false" customHeight="false" outlineLevel="0" collapsed="false">
      <c r="A9" s="5"/>
      <c r="B9" s="26" t="s">
        <v>170</v>
      </c>
      <c r="C9" s="28" t="n">
        <f aca="false">IF(C7=0,TE_Cash_Pre,TE_Cash_Post)</f>
        <v>0.35</v>
      </c>
      <c r="D9" s="28" t="n">
        <f aca="false">IF(D7=0,TE_Cash_Pre,TE_Cash_Post)</f>
        <v>0.35</v>
      </c>
      <c r="E9" s="28" t="n">
        <f aca="false">IF(E7=0,TE_Cash_Pre,TE_Cash_Post)</f>
        <v>0.35</v>
      </c>
      <c r="F9" s="28" t="n">
        <f aca="false">IF(F7=0,TE_Cash_Pre,TE_Cash_Post)</f>
        <v>0.35</v>
      </c>
      <c r="G9" s="28" t="n">
        <f aca="false">IF(G7=0,TE_Cash_Pre,TE_Cash_Post)</f>
        <v>0.05</v>
      </c>
      <c r="H9" s="28" t="n">
        <f aca="false">IF(H7=0,TE_Cash_Pre,TE_Cash_Post)</f>
        <v>0.05</v>
      </c>
      <c r="I9" s="28" t="n">
        <f aca="false">IF(I7=0,TE_Cash_Pre,TE_Cash_Post)</f>
        <v>0.05</v>
      </c>
      <c r="J9" s="28" t="n">
        <f aca="false">IF(J7=0,TE_Cash_Pre,TE_Cash_Post)</f>
        <v>0.05</v>
      </c>
      <c r="K9" s="28" t="n">
        <f aca="false">IF(K7=0,TE_Cash_Pre,TE_Cash_Post)</f>
        <v>0.05</v>
      </c>
      <c r="L9" s="28" t="n">
        <f aca="false">IF(L7=0,TE_Cash_Pre,TE_Cash_Post)</f>
        <v>0.05</v>
      </c>
      <c r="M9" s="28" t="n">
        <f aca="false">IF(M7=0,TE_Cash_Pre,TE_Cash_Post)</f>
        <v>0.05</v>
      </c>
      <c r="N9" s="28" t="n">
        <f aca="false">IF(N7=0,TE_Cash_Pre,TE_Cash_Post)</f>
        <v>0.05</v>
      </c>
      <c r="O9" s="28" t="n">
        <f aca="false">IF(O7=0,TE_Cash_Pre,TE_Cash_Post)</f>
        <v>0.05</v>
      </c>
      <c r="P9" s="28" t="n">
        <f aca="false">IF(P7=0,TE_Cash_Pre,TE_Cash_Post)</f>
        <v>0.05</v>
      </c>
      <c r="Q9" s="28" t="n">
        <f aca="false">IF(Q7=0,TE_Cash_Pre,TE_Cash_Post)</f>
        <v>0.05</v>
      </c>
      <c r="R9" s="28" t="n">
        <f aca="false">IF(R7=0,TE_Cash_Pre,TE_Cash_Post)</f>
        <v>0.05</v>
      </c>
      <c r="S9" s="28" t="n">
        <f aca="false">IF(S7=0,TE_Cash_Pre,TE_Cash_Post)</f>
        <v>0.05</v>
      </c>
      <c r="T9" s="28" t="n">
        <f aca="false">IF(T7=0,TE_Cash_Pre,TE_Cash_Post)</f>
        <v>0.05</v>
      </c>
      <c r="U9" s="28" t="n">
        <f aca="false">IF(U7=0,TE_Cash_Pre,TE_Cash_Post)</f>
        <v>0.05</v>
      </c>
      <c r="V9" s="28" t="n">
        <f aca="false">IF(V7=0,TE_Cash_Pre,TE_Cash_Post)</f>
        <v>0.05</v>
      </c>
      <c r="W9" s="28" t="n">
        <f aca="false">IF(W7=0,TE_Cash_Pre,TE_Cash_Post)</f>
        <v>0.05</v>
      </c>
      <c r="X9" s="28" t="n">
        <f aca="false">IF(X7=0,TE_Cash_Pre,TE_Cash_Post)</f>
        <v>0.05</v>
      </c>
      <c r="Y9" s="28" t="n">
        <f aca="false">IF(Y7=0,TE_Cash_Pre,TE_Cash_Post)</f>
        <v>0.05</v>
      </c>
      <c r="Z9" s="28" t="n">
        <f aca="false">IF(Z7=0,TE_Cash_Pre,TE_Cash_Post)</f>
        <v>0.05</v>
      </c>
      <c r="AA9" s="28" t="n">
        <f aca="false">IF(AA7=0,TE_Cash_Pre,TE_Cash_Post)</f>
        <v>0.05</v>
      </c>
    </row>
    <row r="10" customFormat="false" ht="15" hidden="false" customHeight="false" outlineLevel="0" collapsed="false">
      <c r="A10" s="5"/>
      <c r="B10" s="26" t="s">
        <v>171</v>
      </c>
      <c r="C10" s="28" t="n">
        <f aca="false">1-C8</f>
        <v>0.01</v>
      </c>
      <c r="D10" s="28" t="n">
        <f aca="false">1-D8</f>
        <v>0.01</v>
      </c>
      <c r="E10" s="28" t="n">
        <f aca="false">1-E8</f>
        <v>0.01</v>
      </c>
      <c r="F10" s="28" t="n">
        <f aca="false">1-F8</f>
        <v>0.01</v>
      </c>
      <c r="G10" s="28" t="n">
        <f aca="false">1-G8</f>
        <v>0.95</v>
      </c>
      <c r="H10" s="28" t="n">
        <f aca="false">1-H8</f>
        <v>0.95</v>
      </c>
      <c r="I10" s="28" t="n">
        <f aca="false">1-I8</f>
        <v>0.95</v>
      </c>
      <c r="J10" s="28" t="n">
        <f aca="false">1-J8</f>
        <v>0.95</v>
      </c>
      <c r="K10" s="28" t="n">
        <f aca="false">1-K8</f>
        <v>0.95</v>
      </c>
      <c r="L10" s="28" t="n">
        <f aca="false">1-L8</f>
        <v>0.95</v>
      </c>
      <c r="M10" s="28" t="n">
        <f aca="false">1-M8</f>
        <v>0.95</v>
      </c>
      <c r="N10" s="28" t="n">
        <f aca="false">1-N8</f>
        <v>0.95</v>
      </c>
      <c r="O10" s="28" t="n">
        <f aca="false">1-O8</f>
        <v>0.95</v>
      </c>
      <c r="P10" s="28" t="n">
        <f aca="false">1-P8</f>
        <v>0.95</v>
      </c>
      <c r="Q10" s="28" t="n">
        <f aca="false">1-Q8</f>
        <v>0.95</v>
      </c>
      <c r="R10" s="28" t="n">
        <f aca="false">1-R8</f>
        <v>0.95</v>
      </c>
      <c r="S10" s="28" t="n">
        <f aca="false">1-S8</f>
        <v>0.95</v>
      </c>
      <c r="T10" s="28" t="n">
        <f aca="false">1-T8</f>
        <v>0.95</v>
      </c>
      <c r="U10" s="28" t="n">
        <f aca="false">1-U8</f>
        <v>0.95</v>
      </c>
      <c r="V10" s="28" t="n">
        <f aca="false">1-V8</f>
        <v>0.95</v>
      </c>
      <c r="W10" s="28" t="n">
        <f aca="false">1-W8</f>
        <v>0.95</v>
      </c>
      <c r="X10" s="28" t="n">
        <f aca="false">1-X8</f>
        <v>0.95</v>
      </c>
      <c r="Y10" s="28" t="n">
        <f aca="false">1-Y8</f>
        <v>0.95</v>
      </c>
      <c r="Z10" s="28" t="n">
        <f aca="false">1-Z8</f>
        <v>0.95</v>
      </c>
      <c r="AA10" s="28" t="n">
        <f aca="false">1-AA8</f>
        <v>0.95</v>
      </c>
    </row>
    <row r="11" customFormat="false" ht="15" hidden="false" customHeight="false" outlineLevel="0" collapsed="false">
      <c r="A11" s="5"/>
      <c r="B11" s="26" t="s">
        <v>172</v>
      </c>
      <c r="C11" s="28" t="n">
        <f aca="false">1-C9</f>
        <v>0.65</v>
      </c>
      <c r="D11" s="28" t="n">
        <f aca="false">1-D9</f>
        <v>0.65</v>
      </c>
      <c r="E11" s="28" t="n">
        <f aca="false">1-E9</f>
        <v>0.65</v>
      </c>
      <c r="F11" s="28" t="n">
        <f aca="false">1-F9</f>
        <v>0.65</v>
      </c>
      <c r="G11" s="28" t="n">
        <f aca="false">1-G9</f>
        <v>0.95</v>
      </c>
      <c r="H11" s="28" t="n">
        <f aca="false">1-H9</f>
        <v>0.95</v>
      </c>
      <c r="I11" s="28" t="n">
        <f aca="false">1-I9</f>
        <v>0.95</v>
      </c>
      <c r="J11" s="28" t="n">
        <f aca="false">1-J9</f>
        <v>0.95</v>
      </c>
      <c r="K11" s="28" t="n">
        <f aca="false">1-K9</f>
        <v>0.95</v>
      </c>
      <c r="L11" s="28" t="n">
        <f aca="false">1-L9</f>
        <v>0.95</v>
      </c>
      <c r="M11" s="28" t="n">
        <f aca="false">1-M9</f>
        <v>0.95</v>
      </c>
      <c r="N11" s="28" t="n">
        <f aca="false">1-N9</f>
        <v>0.95</v>
      </c>
      <c r="O11" s="28" t="n">
        <f aca="false">1-O9</f>
        <v>0.95</v>
      </c>
      <c r="P11" s="28" t="n">
        <f aca="false">1-P9</f>
        <v>0.95</v>
      </c>
      <c r="Q11" s="28" t="n">
        <f aca="false">1-Q9</f>
        <v>0.95</v>
      </c>
      <c r="R11" s="28" t="n">
        <f aca="false">1-R9</f>
        <v>0.95</v>
      </c>
      <c r="S11" s="28" t="n">
        <f aca="false">1-S9</f>
        <v>0.95</v>
      </c>
      <c r="T11" s="28" t="n">
        <f aca="false">1-T9</f>
        <v>0.95</v>
      </c>
      <c r="U11" s="28" t="n">
        <f aca="false">1-U9</f>
        <v>0.95</v>
      </c>
      <c r="V11" s="28" t="n">
        <f aca="false">1-V9</f>
        <v>0.95</v>
      </c>
      <c r="W11" s="28" t="n">
        <f aca="false">1-W9</f>
        <v>0.95</v>
      </c>
      <c r="X11" s="28" t="n">
        <f aca="false">1-X9</f>
        <v>0.95</v>
      </c>
      <c r="Y11" s="28" t="n">
        <f aca="false">1-Y9</f>
        <v>0.95</v>
      </c>
      <c r="Z11" s="28" t="n">
        <f aca="false">1-Z9</f>
        <v>0.95</v>
      </c>
      <c r="AA11" s="28" t="n">
        <f aca="false">1-AA9</f>
        <v>0.95</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customFormat="false" ht="15" hidden="false" customHeight="false" outlineLevel="0" collapsed="false">
      <c r="A13" s="5"/>
      <c r="B13" s="7" t="s">
        <v>173</v>
      </c>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33" t="s">
        <v>174</v>
      </c>
      <c r="C14" s="36" t="n">
        <f aca="false">C8*ITC_Amount</f>
        <v>29700000</v>
      </c>
      <c r="D14" s="36" t="n">
        <v>0</v>
      </c>
      <c r="E14" s="36" t="n">
        <v>0</v>
      </c>
      <c r="F14" s="36" t="n">
        <v>0</v>
      </c>
      <c r="G14" s="36" t="n">
        <v>0</v>
      </c>
      <c r="H14" s="36" t="n">
        <v>0</v>
      </c>
      <c r="I14" s="36" t="n">
        <v>0</v>
      </c>
      <c r="J14" s="36" t="n">
        <v>0</v>
      </c>
      <c r="K14" s="36" t="n">
        <v>0</v>
      </c>
      <c r="L14" s="36" t="n">
        <v>0</v>
      </c>
      <c r="M14" s="36" t="n">
        <v>0</v>
      </c>
      <c r="N14" s="36" t="n">
        <v>0</v>
      </c>
      <c r="O14" s="36" t="n">
        <v>0</v>
      </c>
      <c r="P14" s="36" t="n">
        <v>0</v>
      </c>
      <c r="Q14" s="36" t="n">
        <v>0</v>
      </c>
      <c r="R14" s="36" t="n">
        <v>0</v>
      </c>
      <c r="S14" s="36" t="n">
        <v>0</v>
      </c>
      <c r="T14" s="36" t="n">
        <v>0</v>
      </c>
      <c r="U14" s="36" t="n">
        <v>0</v>
      </c>
      <c r="V14" s="36" t="n">
        <v>0</v>
      </c>
      <c r="W14" s="36" t="n">
        <v>0</v>
      </c>
      <c r="X14" s="36" t="n">
        <v>0</v>
      </c>
      <c r="Y14" s="36" t="n">
        <v>0</v>
      </c>
      <c r="Z14" s="36" t="n">
        <v>0</v>
      </c>
      <c r="AA14" s="36" t="n">
        <v>0</v>
      </c>
    </row>
    <row r="15" customFormat="false" ht="15" hidden="false" customHeight="false" outlineLevel="0" collapsed="false">
      <c r="A15" s="5"/>
      <c r="B15" s="26" t="s">
        <v>175</v>
      </c>
      <c r="C15" s="27" t="n">
        <f aca="false">C8*Depreciation_Tax!C15</f>
        <v>-10904523.1416</v>
      </c>
      <c r="D15" s="27" t="n">
        <f aca="false">D8*Depreciation_Tax!D15</f>
        <v>-20792054.6660178</v>
      </c>
      <c r="E15" s="27" t="n">
        <f aca="false">E8*Depreciation_Tax!E15</f>
        <v>-9810773.87676051</v>
      </c>
      <c r="F15" s="27" t="n">
        <f aca="false">F8*Depreciation_Tax!F15</f>
        <v>-3138386.45772581</v>
      </c>
      <c r="G15" s="27" t="n">
        <f aca="false">G8*Depreciation_Tax!G15</f>
        <v>-147937.317280392</v>
      </c>
      <c r="H15" s="27" t="n">
        <f aca="false">H8*Depreciation_Tax!H15</f>
        <v>107406.139703577</v>
      </c>
      <c r="I15" s="27" t="n">
        <f aca="false">I8*Depreciation_Tax!I15</f>
        <v>362724.584388897</v>
      </c>
      <c r="J15" s="27" t="n">
        <f aca="false">J8*Depreciation_Tax!J15</f>
        <v>373216.553595209</v>
      </c>
      <c r="K15" s="27" t="n">
        <f aca="false">K8*Depreciation_Tax!K15</f>
        <v>383680.539814797</v>
      </c>
      <c r="L15" s="27" t="n">
        <f aca="false">L8*Depreciation_Tax!L15</f>
        <v>394114.990024672</v>
      </c>
      <c r="M15" s="27" t="n">
        <f aca="false">M8*Depreciation_Tax!M15</f>
        <v>404518.304468174</v>
      </c>
      <c r="N15" s="27" t="n">
        <f aca="false">N8*Depreciation_Tax!N15</f>
        <v>414888.835405326</v>
      </c>
      <c r="O15" s="27" t="n">
        <f aca="false">O8*Depreciation_Tax!O15</f>
        <v>425224.885831166</v>
      </c>
      <c r="P15" s="27" t="n">
        <f aca="false">P8*Depreciation_Tax!P15</f>
        <v>435524.70816122</v>
      </c>
      <c r="Q15" s="27" t="n">
        <f aca="false">Q8*Depreciation_Tax!Q15</f>
        <v>445786.502883322</v>
      </c>
      <c r="R15" s="27" t="n">
        <f aca="false">R8*Depreciation_Tax!R15</f>
        <v>456008.417174893</v>
      </c>
      <c r="S15" s="27" t="n">
        <f aca="false">S8*Depreciation_Tax!S15</f>
        <v>466188.543484845</v>
      </c>
      <c r="T15" s="27" t="n">
        <f aca="false">T8*Depreciation_Tax!T15</f>
        <v>476324.918079183</v>
      </c>
      <c r="U15" s="27" t="n">
        <f aca="false">U8*Depreciation_Tax!U15</f>
        <v>486415.51954942</v>
      </c>
      <c r="V15" s="27" t="n">
        <f aca="false">V8*Depreciation_Tax!V15</f>
        <v>487833.267282843</v>
      </c>
      <c r="W15" s="27" t="n">
        <f aca="false">W8*Depreciation_Tax!W15</f>
        <v>489201.019893675</v>
      </c>
      <c r="X15" s="27" t="n">
        <f aca="false">X8*Depreciation_Tax!X15</f>
        <v>490516.573614161</v>
      </c>
      <c r="Y15" s="27" t="n">
        <f aca="false">Y8*Depreciation_Tax!Y15</f>
        <v>491777.660644545</v>
      </c>
      <c r="Z15" s="27" t="n">
        <f aca="false">Z8*Depreciation_Tax!Z15</f>
        <v>492981.947460909</v>
      </c>
      <c r="AA15" s="27" t="n">
        <f aca="false">AA8*Depreciation_Tax!AA15</f>
        <v>494127.03307983</v>
      </c>
    </row>
    <row r="16" customFormat="false" ht="15" hidden="false" customHeight="false" outlineLevel="0" collapsed="false">
      <c r="A16" s="5"/>
      <c r="B16" s="33" t="s">
        <v>176</v>
      </c>
      <c r="C16" s="36" t="n">
        <v>0</v>
      </c>
      <c r="D16" s="36" t="n">
        <f aca="false">C19</f>
        <v>10904523.1416</v>
      </c>
      <c r="E16" s="36" t="n">
        <f aca="false">D19</f>
        <v>31696577.8076178</v>
      </c>
      <c r="F16" s="36" t="n">
        <f aca="false">E19</f>
        <v>41507351.6843783</v>
      </c>
      <c r="G16" s="36" t="n">
        <f aca="false">F19</f>
        <v>44645738.1421041</v>
      </c>
      <c r="H16" s="36" t="n">
        <f aca="false">G19</f>
        <v>44793675.4593845</v>
      </c>
      <c r="I16" s="36" t="n">
        <f aca="false">H19</f>
        <v>44707750.5476216</v>
      </c>
      <c r="J16" s="36" t="n">
        <f aca="false">I19</f>
        <v>44417570.8801105</v>
      </c>
      <c r="K16" s="36" t="n">
        <f aca="false">J19</f>
        <v>44118997.6372344</v>
      </c>
      <c r="L16" s="36" t="n">
        <f aca="false">K19</f>
        <v>43812053.2053825</v>
      </c>
      <c r="M16" s="36" t="n">
        <f aca="false">L19</f>
        <v>43496761.2133628</v>
      </c>
      <c r="N16" s="36" t="n">
        <f aca="false">M19</f>
        <v>43173146.5697883</v>
      </c>
      <c r="O16" s="36" t="n">
        <f aca="false">N19</f>
        <v>42841235.501464</v>
      </c>
      <c r="P16" s="36" t="n">
        <f aca="false">O19</f>
        <v>42501055.5927991</v>
      </c>
      <c r="Q16" s="36" t="n">
        <f aca="false">P19</f>
        <v>42152635.8262701</v>
      </c>
      <c r="R16" s="36" t="n">
        <f aca="false">Q19</f>
        <v>41796006.6239634</v>
      </c>
      <c r="S16" s="36" t="n">
        <f aca="false">R19</f>
        <v>41431199.8902235</v>
      </c>
      <c r="T16" s="36" t="n">
        <f aca="false">S19</f>
        <v>41058249.0554356</v>
      </c>
      <c r="U16" s="36" t="n">
        <f aca="false">T19</f>
        <v>40677189.1209723</v>
      </c>
      <c r="V16" s="36" t="n">
        <f aca="false">U19</f>
        <v>40288056.7053328</v>
      </c>
      <c r="W16" s="36" t="n">
        <f aca="false">V19</f>
        <v>39897790.0915065</v>
      </c>
      <c r="X16" s="36" t="n">
        <f aca="false">W19</f>
        <v>39506429.2755915</v>
      </c>
      <c r="Y16" s="36" t="n">
        <f aca="false">X19</f>
        <v>39114016.0167002</v>
      </c>
      <c r="Z16" s="36" t="n">
        <f aca="false">Y19</f>
        <v>38720593.8881846</v>
      </c>
      <c r="AA16" s="36" t="n">
        <f aca="false">Z19</f>
        <v>38326208.3302159</v>
      </c>
    </row>
    <row r="17" customFormat="false" ht="15" hidden="false" customHeight="false" outlineLevel="0" collapsed="false">
      <c r="A17" s="5"/>
      <c r="B17" s="26" t="s">
        <v>177</v>
      </c>
      <c r="C17" s="27" t="n">
        <f aca="false">MAX(0,-C15)</f>
        <v>10904523.1416</v>
      </c>
      <c r="D17" s="27" t="n">
        <f aca="false">MAX(0,-D15)</f>
        <v>20792054.6660178</v>
      </c>
      <c r="E17" s="27" t="n">
        <f aca="false">MAX(0,-E15)</f>
        <v>9810773.87676051</v>
      </c>
      <c r="F17" s="27" t="n">
        <f aca="false">MAX(0,-F15)</f>
        <v>3138386.45772581</v>
      </c>
      <c r="G17" s="27" t="n">
        <f aca="false">MAX(0,-G15)</f>
        <v>147937.317280392</v>
      </c>
      <c r="H17" s="27" t="n">
        <f aca="false">MAX(0,-H15)</f>
        <v>0</v>
      </c>
      <c r="I17" s="27" t="n">
        <f aca="false">MAX(0,-I15)</f>
        <v>0</v>
      </c>
      <c r="J17" s="27" t="n">
        <f aca="false">MAX(0,-J15)</f>
        <v>0</v>
      </c>
      <c r="K17" s="27" t="n">
        <f aca="false">MAX(0,-K15)</f>
        <v>0</v>
      </c>
      <c r="L17" s="27" t="n">
        <f aca="false">MAX(0,-L15)</f>
        <v>0</v>
      </c>
      <c r="M17" s="27" t="n">
        <f aca="false">MAX(0,-M15)</f>
        <v>0</v>
      </c>
      <c r="N17" s="27" t="n">
        <f aca="false">MAX(0,-N15)</f>
        <v>0</v>
      </c>
      <c r="O17" s="27" t="n">
        <f aca="false">MAX(0,-O15)</f>
        <v>0</v>
      </c>
      <c r="P17" s="27" t="n">
        <f aca="false">MAX(0,-P15)</f>
        <v>0</v>
      </c>
      <c r="Q17" s="27" t="n">
        <f aca="false">MAX(0,-Q15)</f>
        <v>0</v>
      </c>
      <c r="R17" s="27" t="n">
        <f aca="false">MAX(0,-R15)</f>
        <v>0</v>
      </c>
      <c r="S17" s="27" t="n">
        <f aca="false">MAX(0,-S15)</f>
        <v>0</v>
      </c>
      <c r="T17" s="27" t="n">
        <f aca="false">MAX(0,-T15)</f>
        <v>0</v>
      </c>
      <c r="U17" s="27" t="n">
        <f aca="false">MAX(0,-U15)</f>
        <v>0</v>
      </c>
      <c r="V17" s="27" t="n">
        <f aca="false">MAX(0,-V15)</f>
        <v>0</v>
      </c>
      <c r="W17" s="27" t="n">
        <f aca="false">MAX(0,-W15)</f>
        <v>0</v>
      </c>
      <c r="X17" s="27" t="n">
        <f aca="false">MAX(0,-X15)</f>
        <v>0</v>
      </c>
      <c r="Y17" s="27" t="n">
        <f aca="false">MAX(0,-Y15)</f>
        <v>0</v>
      </c>
      <c r="Z17" s="27" t="n">
        <f aca="false">MAX(0,-Z15)</f>
        <v>0</v>
      </c>
      <c r="AA17" s="27" t="n">
        <f aca="false">MAX(0,-AA15)</f>
        <v>0</v>
      </c>
    </row>
    <row r="18" customFormat="false" ht="15" hidden="false" customHeight="false" outlineLevel="0" collapsed="false">
      <c r="A18" s="5"/>
      <c r="B18" s="26" t="s">
        <v>178</v>
      </c>
      <c r="C18" s="27" t="n">
        <f aca="false">IF(C15&gt;0,MIN(C16,0.8*C15),0)</f>
        <v>0</v>
      </c>
      <c r="D18" s="27" t="n">
        <f aca="false">IF(D15&gt;0,MIN(D16,0.8*D15),0)</f>
        <v>0</v>
      </c>
      <c r="E18" s="27" t="n">
        <f aca="false">IF(E15&gt;0,MIN(E16,0.8*E15),0)</f>
        <v>0</v>
      </c>
      <c r="F18" s="27" t="n">
        <f aca="false">IF(F15&gt;0,MIN(F16,0.8*F15),0)</f>
        <v>0</v>
      </c>
      <c r="G18" s="27" t="n">
        <f aca="false">IF(G15&gt;0,MIN(G16,0.8*G15),0)</f>
        <v>0</v>
      </c>
      <c r="H18" s="27" t="n">
        <f aca="false">IF(H15&gt;0,MIN(H16,0.8*H15),0)</f>
        <v>85924.9117628618</v>
      </c>
      <c r="I18" s="27" t="n">
        <f aca="false">IF(I15&gt;0,MIN(I16,0.8*I15),0)</f>
        <v>290179.667511118</v>
      </c>
      <c r="J18" s="27" t="n">
        <f aca="false">IF(J15&gt;0,MIN(J16,0.8*J15),0)</f>
        <v>298573.242876167</v>
      </c>
      <c r="K18" s="27" t="n">
        <f aca="false">IF(K15&gt;0,MIN(K16,0.8*K15),0)</f>
        <v>306944.431851837</v>
      </c>
      <c r="L18" s="27" t="n">
        <f aca="false">IF(L15&gt;0,MIN(L16,0.8*L15),0)</f>
        <v>315291.992019738</v>
      </c>
      <c r="M18" s="27" t="n">
        <f aca="false">IF(M15&gt;0,MIN(M16,0.8*M15),0)</f>
        <v>323614.643574539</v>
      </c>
      <c r="N18" s="27" t="n">
        <f aca="false">IF(N15&gt;0,MIN(N16,0.8*N15),0)</f>
        <v>331911.068324261</v>
      </c>
      <c r="O18" s="27" t="n">
        <f aca="false">IF(O15&gt;0,MIN(O16,0.8*O15),0)</f>
        <v>340179.908664933</v>
      </c>
      <c r="P18" s="27" t="n">
        <f aca="false">IF(P15&gt;0,MIN(P16,0.8*P15),0)</f>
        <v>348419.766528976</v>
      </c>
      <c r="Q18" s="27" t="n">
        <f aca="false">IF(Q15&gt;0,MIN(Q16,0.8*Q15),0)</f>
        <v>356629.202306658</v>
      </c>
      <c r="R18" s="27" t="n">
        <f aca="false">IF(R15&gt;0,MIN(R16,0.8*R15),0)</f>
        <v>364806.733739915</v>
      </c>
      <c r="S18" s="27" t="n">
        <f aca="false">IF(S15&gt;0,MIN(S16,0.8*S15),0)</f>
        <v>372950.834787876</v>
      </c>
      <c r="T18" s="27" t="n">
        <f aca="false">IF(T15&gt;0,MIN(T16,0.8*T15),0)</f>
        <v>381059.934463347</v>
      </c>
      <c r="U18" s="27" t="n">
        <f aca="false">IF(U15&gt;0,MIN(U16,0.8*U15),0)</f>
        <v>389132.415639536</v>
      </c>
      <c r="V18" s="27" t="n">
        <f aca="false">IF(V15&gt;0,MIN(V16,0.8*V15),0)</f>
        <v>390266.613826274</v>
      </c>
      <c r="W18" s="27" t="n">
        <f aca="false">IF(W15&gt;0,MIN(W16,0.8*W15),0)</f>
        <v>391360.81591494</v>
      </c>
      <c r="X18" s="27" t="n">
        <f aca="false">IF(X15&gt;0,MIN(X16,0.8*X15),0)</f>
        <v>392413.258891329</v>
      </c>
      <c r="Y18" s="27" t="n">
        <f aca="false">IF(Y15&gt;0,MIN(Y16,0.8*Y15),0)</f>
        <v>393422.128515636</v>
      </c>
      <c r="Z18" s="27" t="n">
        <f aca="false">IF(Z15&gt;0,MIN(Z16,0.8*Z15),0)</f>
        <v>394385.557968728</v>
      </c>
      <c r="AA18" s="27" t="n">
        <f aca="false">IF(AA15&gt;0,MIN(AA16,0.8*AA15),0)</f>
        <v>395301.626463864</v>
      </c>
    </row>
    <row r="19" customFormat="false" ht="15" hidden="false" customHeight="false" outlineLevel="0" collapsed="false">
      <c r="A19" s="5"/>
      <c r="B19" s="26" t="s">
        <v>179</v>
      </c>
      <c r="C19" s="27" t="n">
        <f aca="false">C16+C17-C18</f>
        <v>10904523.1416</v>
      </c>
      <c r="D19" s="27" t="n">
        <f aca="false">D16+D17-D18</f>
        <v>31696577.8076178</v>
      </c>
      <c r="E19" s="27" t="n">
        <f aca="false">E16+E17-E18</f>
        <v>41507351.6843783</v>
      </c>
      <c r="F19" s="27" t="n">
        <f aca="false">F16+F17-F18</f>
        <v>44645738.1421041</v>
      </c>
      <c r="G19" s="27" t="n">
        <f aca="false">G16+G17-G18</f>
        <v>44793675.4593845</v>
      </c>
      <c r="H19" s="27" t="n">
        <f aca="false">H16+H17-H18</f>
        <v>44707750.5476216</v>
      </c>
      <c r="I19" s="27" t="n">
        <f aca="false">I16+I17-I18</f>
        <v>44417570.8801105</v>
      </c>
      <c r="J19" s="27" t="n">
        <f aca="false">J16+J17-J18</f>
        <v>44118997.6372344</v>
      </c>
      <c r="K19" s="27" t="n">
        <f aca="false">K16+K17-K18</f>
        <v>43812053.2053825</v>
      </c>
      <c r="L19" s="27" t="n">
        <f aca="false">L16+L17-L18</f>
        <v>43496761.2133628</v>
      </c>
      <c r="M19" s="27" t="n">
        <f aca="false">M16+M17-M18</f>
        <v>43173146.5697883</v>
      </c>
      <c r="N19" s="27" t="n">
        <f aca="false">N16+N17-N18</f>
        <v>42841235.501464</v>
      </c>
      <c r="O19" s="27" t="n">
        <f aca="false">O16+O17-O18</f>
        <v>42501055.5927991</v>
      </c>
      <c r="P19" s="27" t="n">
        <f aca="false">P16+P17-P18</f>
        <v>42152635.8262701</v>
      </c>
      <c r="Q19" s="27" t="n">
        <f aca="false">Q16+Q17-Q18</f>
        <v>41796006.6239634</v>
      </c>
      <c r="R19" s="27" t="n">
        <f aca="false">R16+R17-R18</f>
        <v>41431199.8902235</v>
      </c>
      <c r="S19" s="27" t="n">
        <f aca="false">S16+S17-S18</f>
        <v>41058249.0554356</v>
      </c>
      <c r="T19" s="27" t="n">
        <f aca="false">T16+T17-T18</f>
        <v>40677189.1209723</v>
      </c>
      <c r="U19" s="27" t="n">
        <f aca="false">U16+U17-U18</f>
        <v>40288056.7053328</v>
      </c>
      <c r="V19" s="27" t="n">
        <f aca="false">V16+V17-V18</f>
        <v>39897790.0915065</v>
      </c>
      <c r="W19" s="27" t="n">
        <f aca="false">W16+W17-W18</f>
        <v>39506429.2755915</v>
      </c>
      <c r="X19" s="27" t="n">
        <f aca="false">X16+X17-X18</f>
        <v>39114016.0167002</v>
      </c>
      <c r="Y19" s="27" t="n">
        <f aca="false">Y16+Y17-Y18</f>
        <v>38720593.8881846</v>
      </c>
      <c r="Z19" s="27" t="n">
        <f aca="false">Z16+Z17-Z18</f>
        <v>38326208.3302159</v>
      </c>
      <c r="AA19" s="27" t="n">
        <f aca="false">AA16+AA17-AA18</f>
        <v>37930906.703752</v>
      </c>
    </row>
    <row r="20" customFormat="false" ht="15" hidden="false" customHeight="false" outlineLevel="0" collapsed="false">
      <c r="A20" s="5"/>
      <c r="B20" s="26" t="s">
        <v>180</v>
      </c>
      <c r="C20" s="27" t="n">
        <f aca="false">C15-C18</f>
        <v>-10904523.1416</v>
      </c>
      <c r="D20" s="27" t="n">
        <f aca="false">D15-D18</f>
        <v>-20792054.6660178</v>
      </c>
      <c r="E20" s="27" t="n">
        <f aca="false">E15-E18</f>
        <v>-9810773.87676051</v>
      </c>
      <c r="F20" s="27" t="n">
        <f aca="false">F15-F18</f>
        <v>-3138386.45772581</v>
      </c>
      <c r="G20" s="27" t="n">
        <f aca="false">G15-G18</f>
        <v>-147937.317280392</v>
      </c>
      <c r="H20" s="27" t="n">
        <f aca="false">H15-H18</f>
        <v>21481.2279407155</v>
      </c>
      <c r="I20" s="27" t="n">
        <f aca="false">I15-I18</f>
        <v>72544.9168777795</v>
      </c>
      <c r="J20" s="27" t="n">
        <f aca="false">J15-J18</f>
        <v>74643.3107190417</v>
      </c>
      <c r="K20" s="27" t="n">
        <f aca="false">K15-K18</f>
        <v>76736.1079629593</v>
      </c>
      <c r="L20" s="27" t="n">
        <f aca="false">L15-L18</f>
        <v>78822.9980049344</v>
      </c>
      <c r="M20" s="27" t="n">
        <f aca="false">M15-M18</f>
        <v>80903.6608936347</v>
      </c>
      <c r="N20" s="27" t="n">
        <f aca="false">N15-N18</f>
        <v>82977.7670810653</v>
      </c>
      <c r="O20" s="27" t="n">
        <f aca="false">O15-O18</f>
        <v>85044.9771662332</v>
      </c>
      <c r="P20" s="27" t="n">
        <f aca="false">P15-P18</f>
        <v>87104.941632244</v>
      </c>
      <c r="Q20" s="27" t="n">
        <f aca="false">Q15-Q18</f>
        <v>89157.3005766643</v>
      </c>
      <c r="R20" s="27" t="n">
        <f aca="false">R15-R18</f>
        <v>91201.6834349787</v>
      </c>
      <c r="S20" s="27" t="n">
        <f aca="false">S15-S18</f>
        <v>93237.7086969689</v>
      </c>
      <c r="T20" s="27" t="n">
        <f aca="false">T15-T18</f>
        <v>95264.9836158366</v>
      </c>
      <c r="U20" s="27" t="n">
        <f aca="false">U15-U18</f>
        <v>97283.1039098841</v>
      </c>
      <c r="V20" s="27" t="n">
        <f aca="false">V15-V18</f>
        <v>97566.6534565685</v>
      </c>
      <c r="W20" s="27" t="n">
        <f aca="false">W15-W18</f>
        <v>97840.2039787349</v>
      </c>
      <c r="X20" s="27" t="n">
        <f aca="false">X15-X18</f>
        <v>98103.3147228322</v>
      </c>
      <c r="Y20" s="27" t="n">
        <f aca="false">Y15-Y18</f>
        <v>98355.5321289089</v>
      </c>
      <c r="Z20" s="27" t="n">
        <f aca="false">Z15-Z18</f>
        <v>98596.3894921818</v>
      </c>
      <c r="AA20" s="27" t="n">
        <f aca="false">AA15-AA18</f>
        <v>98825.4066159661</v>
      </c>
    </row>
    <row r="21" customFormat="false" ht="15" hidden="false" customHeight="false" outlineLevel="0" collapsed="false">
      <c r="A21" s="5"/>
      <c r="B21" s="26" t="s">
        <v>181</v>
      </c>
      <c r="C21" s="27" t="n">
        <f aca="false">-C20*Combined_Tax_Rate</f>
        <v>2835176.016816</v>
      </c>
      <c r="D21" s="27" t="n">
        <f aca="false">-D20*Combined_Tax_Rate</f>
        <v>5405934.21316463</v>
      </c>
      <c r="E21" s="27" t="n">
        <f aca="false">-E20*Combined_Tax_Rate</f>
        <v>2550801.20795773</v>
      </c>
      <c r="F21" s="27" t="n">
        <f aca="false">-F20*Combined_Tax_Rate</f>
        <v>815980.47900871</v>
      </c>
      <c r="G21" s="27" t="n">
        <f aca="false">-G20*Combined_Tax_Rate</f>
        <v>38463.702492902</v>
      </c>
      <c r="H21" s="27" t="n">
        <f aca="false">-H20*Combined_Tax_Rate</f>
        <v>-5585.11926458602</v>
      </c>
      <c r="I21" s="27" t="n">
        <f aca="false">-I20*Combined_Tax_Rate</f>
        <v>-18861.6783882227</v>
      </c>
      <c r="J21" s="27" t="n">
        <f aca="false">-J20*Combined_Tax_Rate</f>
        <v>-19407.2607869509</v>
      </c>
      <c r="K21" s="27" t="n">
        <f aca="false">-K20*Combined_Tax_Rate</f>
        <v>-19951.3880703694</v>
      </c>
      <c r="L21" s="27" t="n">
        <f aca="false">-L20*Combined_Tax_Rate</f>
        <v>-20493.9794812829</v>
      </c>
      <c r="M21" s="27" t="n">
        <f aca="false">-M20*Combined_Tax_Rate</f>
        <v>-21034.951832345</v>
      </c>
      <c r="N21" s="27" t="n">
        <f aca="false">-N20*Combined_Tax_Rate</f>
        <v>-21574.219441077</v>
      </c>
      <c r="O21" s="27" t="n">
        <f aca="false">-O20*Combined_Tax_Rate</f>
        <v>-22111.6940632206</v>
      </c>
      <c r="P21" s="27" t="n">
        <f aca="false">-P20*Combined_Tax_Rate</f>
        <v>-22647.2848243835</v>
      </c>
      <c r="Q21" s="27" t="n">
        <f aca="false">-Q20*Combined_Tax_Rate</f>
        <v>-23180.8981499327</v>
      </c>
      <c r="R21" s="27" t="n">
        <f aca="false">-R20*Combined_Tax_Rate</f>
        <v>-23712.4376930945</v>
      </c>
      <c r="S21" s="27" t="n">
        <f aca="false">-S20*Combined_Tax_Rate</f>
        <v>-24241.8042612119</v>
      </c>
      <c r="T21" s="27" t="n">
        <f aca="false">-T20*Combined_Tax_Rate</f>
        <v>-24768.8957401175</v>
      </c>
      <c r="U21" s="27" t="n">
        <f aca="false">-U20*Combined_Tax_Rate</f>
        <v>-25293.6070165699</v>
      </c>
      <c r="V21" s="27" t="n">
        <f aca="false">-V20*Combined_Tax_Rate</f>
        <v>-25367.3298987078</v>
      </c>
      <c r="W21" s="27" t="n">
        <f aca="false">-W20*Combined_Tax_Rate</f>
        <v>-25438.4530344711</v>
      </c>
      <c r="X21" s="27" t="n">
        <f aca="false">-X20*Combined_Tax_Rate</f>
        <v>-25506.8618279364</v>
      </c>
      <c r="Y21" s="27" t="n">
        <f aca="false">-Y20*Combined_Tax_Rate</f>
        <v>-25572.4383535163</v>
      </c>
      <c r="Z21" s="27" t="n">
        <f aca="false">-Z20*Combined_Tax_Rate</f>
        <v>-25635.0612679673</v>
      </c>
      <c r="AA21" s="27" t="n">
        <f aca="false">-AA20*Combined_Tax_Rate</f>
        <v>-25694.6057201512</v>
      </c>
    </row>
    <row r="22" customFormat="false" ht="15" hidden="false" customHeight="false" outlineLevel="0" collapsed="false">
      <c r="A22" s="5"/>
      <c r="B22" s="26" t="s">
        <v>165</v>
      </c>
      <c r="C22" s="27" t="n">
        <f aca="false">Cash_Waterfall!C36</f>
        <v>1036115.556</v>
      </c>
      <c r="D22" s="27" t="n">
        <f aca="false">Cash_Waterfall!D36</f>
        <v>1109211.102923</v>
      </c>
      <c r="E22" s="27" t="n">
        <f aca="false">Cash_Waterfall!E36</f>
        <v>1182136.77652406</v>
      </c>
      <c r="F22" s="27" t="n">
        <f aca="false">Cash_Waterfall!F36</f>
        <v>1254882.67632484</v>
      </c>
      <c r="G22" s="27" t="n">
        <f aca="false">Cash_Waterfall!G36</f>
        <v>189634.08603992</v>
      </c>
      <c r="H22" s="27" t="n">
        <f aca="false">Cash_Waterfall!H36</f>
        <v>199970.578106898</v>
      </c>
      <c r="I22" s="27" t="n">
        <f aca="false">Cash_Waterfall!I36</f>
        <v>210276.883752301</v>
      </c>
      <c r="J22" s="27" t="n">
        <f aca="false">Cash_Waterfall!J36</f>
        <v>220551.410442697</v>
      </c>
      <c r="K22" s="27" t="n">
        <f aca="false">Cash_Waterfall!K36</f>
        <v>230792.518083472</v>
      </c>
      <c r="L22" s="27" t="n">
        <f aca="false">Cash_Waterfall!L36</f>
        <v>240998.517750065</v>
      </c>
      <c r="M22" s="27" t="n">
        <f aca="false">Cash_Waterfall!M36</f>
        <v>251167.670386701</v>
      </c>
      <c r="N22" s="27" t="n">
        <f aca="false">Cash_Waterfall!N36</f>
        <v>261298.185471817</v>
      </c>
      <c r="O22" s="27" t="n">
        <f aca="false">Cash_Waterfall!O36</f>
        <v>271388.219649319</v>
      </c>
      <c r="P22" s="27" t="n">
        <f aca="false">Cash_Waterfall!P36</f>
        <v>281435.875324827</v>
      </c>
      <c r="Q22" s="27" t="n">
        <f aca="false">Cash_Waterfall!Q36</f>
        <v>291439.199226019</v>
      </c>
      <c r="R22" s="27" t="n">
        <f aca="false">Cash_Waterfall!R36</f>
        <v>301396.180926158</v>
      </c>
      <c r="S22" s="27" t="n">
        <f aca="false">Cash_Waterfall!S36</f>
        <v>311304.75132989</v>
      </c>
      <c r="T22" s="27" t="n">
        <f aca="false">Cash_Waterfall!T36</f>
        <v>321162.781120355</v>
      </c>
      <c r="U22" s="27" t="n">
        <f aca="false">Cash_Waterfall!U36</f>
        <v>474718.079166622</v>
      </c>
      <c r="V22" s="27" t="n">
        <f aca="false">Cash_Waterfall!V36</f>
        <v>475843.390890474</v>
      </c>
      <c r="W22" s="27" t="n">
        <f aca="false">Cash_Waterfall!W36</f>
        <v>476911.396591497</v>
      </c>
      <c r="X22" s="27" t="n">
        <f aca="false">Cash_Waterfall!X36</f>
        <v>477919.709729429</v>
      </c>
      <c r="Y22" s="27" t="n">
        <f aca="false">Cash_Waterfall!Y36</f>
        <v>478865.875162694</v>
      </c>
      <c r="Z22" s="27" t="n">
        <f aca="false">Cash_Waterfall!Z36</f>
        <v>479747.367342012</v>
      </c>
      <c r="AA22" s="27" t="n">
        <f aca="false">Cash_Waterfall!AA36</f>
        <v>480561.588457961</v>
      </c>
    </row>
    <row r="23" customFormat="false" ht="15" hidden="false" customHeight="false" outlineLevel="0" collapsed="false">
      <c r="A23" s="30" t="n">
        <f aca="false">-TE_Investment</f>
        <v>-41400000</v>
      </c>
      <c r="B23" s="29" t="s">
        <v>182</v>
      </c>
      <c r="C23" s="30" t="n">
        <f aca="false">C14+C21+C22</f>
        <v>33571291.572816</v>
      </c>
      <c r="D23" s="30" t="n">
        <f aca="false">D14+D21+D22</f>
        <v>6515145.31608763</v>
      </c>
      <c r="E23" s="30" t="n">
        <f aca="false">E14+E21+E22</f>
        <v>3732937.98448179</v>
      </c>
      <c r="F23" s="30" t="n">
        <f aca="false">F14+F21+F22</f>
        <v>2070863.15533355</v>
      </c>
      <c r="G23" s="30" t="n">
        <f aca="false">G14+G21+G22</f>
        <v>228097.788532822</v>
      </c>
      <c r="H23" s="30" t="n">
        <f aca="false">H14+H21+H22</f>
        <v>194385.458842312</v>
      </c>
      <c r="I23" s="30" t="n">
        <f aca="false">I14+I21+I22</f>
        <v>191415.205364078</v>
      </c>
      <c r="J23" s="30" t="n">
        <f aca="false">J14+J21+J22</f>
        <v>201144.149655746</v>
      </c>
      <c r="K23" s="30" t="n">
        <f aca="false">K14+K21+K22</f>
        <v>210841.130013103</v>
      </c>
      <c r="L23" s="30" t="n">
        <f aca="false">L14+L21+L22</f>
        <v>220504.538268782</v>
      </c>
      <c r="M23" s="30" t="n">
        <f aca="false">M14+M21+M22</f>
        <v>230132.718554356</v>
      </c>
      <c r="N23" s="30" t="n">
        <f aca="false">N14+N21+N22</f>
        <v>239723.96603074</v>
      </c>
      <c r="O23" s="30" t="n">
        <f aca="false">O14+O21+O22</f>
        <v>249276.525586098</v>
      </c>
      <c r="P23" s="30" t="n">
        <f aca="false">P14+P21+P22</f>
        <v>258788.590500444</v>
      </c>
      <c r="Q23" s="30" t="n">
        <f aca="false">Q14+Q21+Q22</f>
        <v>268258.301076086</v>
      </c>
      <c r="R23" s="30" t="n">
        <f aca="false">R14+R21+R22</f>
        <v>277683.743233063</v>
      </c>
      <c r="S23" s="30" t="n">
        <f aca="false">S14+S21+S22</f>
        <v>287062.947068679</v>
      </c>
      <c r="T23" s="30" t="n">
        <f aca="false">T14+T21+T22</f>
        <v>296393.885380238</v>
      </c>
      <c r="U23" s="30" t="n">
        <f aca="false">U14+U21+U22</f>
        <v>449424.472150052</v>
      </c>
      <c r="V23" s="30" t="n">
        <f aca="false">V14+V21+V22</f>
        <v>450476.060991766</v>
      </c>
      <c r="W23" s="30" t="n">
        <f aca="false">W14+W21+W22</f>
        <v>451472.943557026</v>
      </c>
      <c r="X23" s="30" t="n">
        <f aca="false">X14+X21+X22</f>
        <v>452412.847901493</v>
      </c>
      <c r="Y23" s="30" t="n">
        <f aca="false">Y14+Y21+Y22</f>
        <v>453293.436809177</v>
      </c>
      <c r="Z23" s="30" t="n">
        <f aca="false">Z14+Z21+Z22</f>
        <v>454112.306074045</v>
      </c>
      <c r="AA23" s="30" t="n">
        <f aca="false">AA14+AA21+AA22</f>
        <v>454866.98273781</v>
      </c>
    </row>
    <row r="24" customFormat="false" ht="15" hidden="false" customHeight="false" outlineLevel="0" collapsed="false">
      <c r="A24" s="5"/>
      <c r="B24" s="29" t="s">
        <v>183</v>
      </c>
      <c r="C24" s="30" t="n">
        <f aca="false">C23</f>
        <v>33571291.572816</v>
      </c>
      <c r="D24" s="30" t="n">
        <f aca="false">C24+D23</f>
        <v>40086436.8889036</v>
      </c>
      <c r="E24" s="30" t="n">
        <f aca="false">D24+E23</f>
        <v>43819374.8733854</v>
      </c>
      <c r="F24" s="30" t="n">
        <f aca="false">E24+F23</f>
        <v>45890238.028719</v>
      </c>
      <c r="G24" s="30" t="n">
        <f aca="false">F24+G23</f>
        <v>46118335.8172518</v>
      </c>
      <c r="H24" s="30" t="n">
        <f aca="false">G24+H23</f>
        <v>46312721.2760941</v>
      </c>
      <c r="I24" s="30" t="n">
        <f aca="false">H24+I23</f>
        <v>46504136.4814582</v>
      </c>
      <c r="J24" s="30" t="n">
        <f aca="false">I24+J23</f>
        <v>46705280.6311139</v>
      </c>
      <c r="K24" s="30" t="n">
        <f aca="false">J24+K23</f>
        <v>46916121.761127</v>
      </c>
      <c r="L24" s="30" t="n">
        <f aca="false">K24+L23</f>
        <v>47136626.2993958</v>
      </c>
      <c r="M24" s="30" t="n">
        <f aca="false">L24+M23</f>
        <v>47366759.0179502</v>
      </c>
      <c r="N24" s="30" t="n">
        <f aca="false">M24+N23</f>
        <v>47606482.9839809</v>
      </c>
      <c r="O24" s="30" t="n">
        <f aca="false">N24+O23</f>
        <v>47855759.509567</v>
      </c>
      <c r="P24" s="30" t="n">
        <f aca="false">O24+P23</f>
        <v>48114548.1000675</v>
      </c>
      <c r="Q24" s="30" t="n">
        <f aca="false">P24+Q23</f>
        <v>48382806.4011435</v>
      </c>
      <c r="R24" s="30" t="n">
        <f aca="false">Q24+R23</f>
        <v>48660490.1443766</v>
      </c>
      <c r="S24" s="30" t="n">
        <f aca="false">R24+S23</f>
        <v>48947553.0914453</v>
      </c>
      <c r="T24" s="30" t="n">
        <f aca="false">S24+T23</f>
        <v>49243946.9768255</v>
      </c>
      <c r="U24" s="30" t="n">
        <f aca="false">T24+U23</f>
        <v>49693371.4489756</v>
      </c>
      <c r="V24" s="30" t="n">
        <f aca="false">U24+V23</f>
        <v>50143847.5099673</v>
      </c>
      <c r="W24" s="30" t="n">
        <f aca="false">V24+W23</f>
        <v>50595320.4535244</v>
      </c>
      <c r="X24" s="30" t="n">
        <f aca="false">W24+X23</f>
        <v>51047733.3014258</v>
      </c>
      <c r="Y24" s="30" t="n">
        <f aca="false">X24+Y23</f>
        <v>51501026.738235</v>
      </c>
      <c r="Z24" s="30" t="n">
        <f aca="false">Y24+Z23</f>
        <v>51955139.0443091</v>
      </c>
      <c r="AA24" s="30" t="n">
        <f aca="false">Z24+AA23</f>
        <v>52410006.0270469</v>
      </c>
    </row>
    <row r="25" customFormat="false" ht="15" hidden="false" customHeight="false" outlineLevel="0" collapsed="false">
      <c r="A25" s="5"/>
      <c r="B25" s="33" t="s">
        <v>184</v>
      </c>
      <c r="C25" s="37" t="n">
        <f aca="false">IFERROR(IRR($A$23:C23),-1)</f>
        <v>-0.189099237371598</v>
      </c>
      <c r="D25" s="37" t="n">
        <f aca="false">IFERROR(IRR($A$23:D23),-1)</f>
        <v>-0.0273101000371822</v>
      </c>
      <c r="E25" s="37" t="n">
        <f aca="false">IFERROR(IRR($A$23:E23),-1)</f>
        <v>0.0442812130214689</v>
      </c>
      <c r="F25" s="37" t="n">
        <f aca="false">IFERROR(IRR($A$23:F23),-1)</f>
        <v>0.0754175411366091</v>
      </c>
      <c r="G25" s="37" t="n">
        <f aca="false">IFERROR(IRR($A$23:G23),-1)</f>
        <v>0.0783453750396434</v>
      </c>
      <c r="H25" s="37" t="n">
        <f aca="false">IFERROR(IRR($A$23:H23),-1)</f>
        <v>0.0806149951385836</v>
      </c>
      <c r="I25" s="37" t="n">
        <f aca="false">IFERROR(IRR($A$23:I23),-1)</f>
        <v>0.0826423896848739</v>
      </c>
      <c r="J25" s="37" t="n">
        <f aca="false">IFERROR(IRR($A$23:J23),-1)</f>
        <v>0.0845675955589248</v>
      </c>
      <c r="K25" s="37" t="n">
        <f aca="false">IFERROR(IRR($A$23:K23),-1)</f>
        <v>0.0863841546447221</v>
      </c>
      <c r="L25" s="37" t="n">
        <f aca="false">IFERROR(IRR($A$23:L23),-1)</f>
        <v>0.0880886841028739</v>
      </c>
      <c r="M25" s="37" t="n">
        <f aca="false">IFERROR(IRR($A$23:M23),-1)</f>
        <v>0.089680403716147</v>
      </c>
      <c r="N25" s="37" t="n">
        <f aca="false">IFERROR(IRR($A$23:N23),-1)</f>
        <v>0.0911606423855507</v>
      </c>
      <c r="O25" s="37" t="n">
        <f aca="false">IFERROR(IRR($A$23:O23),-1)</f>
        <v>0.0925323640118448</v>
      </c>
      <c r="P25" s="37" t="n">
        <f aca="false">IFERROR(IRR($A$23:P23),-1)</f>
        <v>0.0937997385967345</v>
      </c>
      <c r="Q25" s="37" t="n">
        <f aca="false">IFERROR(IRR($A$23:Q23),-1)</f>
        <v>0.0949677720640819</v>
      </c>
      <c r="R25" s="37" t="n">
        <f aca="false">IFERROR(IRR($A$23:R23),-1)</f>
        <v>0.0960419989870948</v>
      </c>
      <c r="S25" s="37" t="n">
        <f aca="false">IFERROR(IRR($A$23:S23),-1)</f>
        <v>0.0970282361403205</v>
      </c>
      <c r="T25" s="37" t="n">
        <f aca="false">IFERROR(IRR($A$23:T23),-1)</f>
        <v>0.0979323911067778</v>
      </c>
      <c r="U25" s="37" t="n">
        <f aca="false">IFERROR(IRR($A$23:U23),-1)</f>
        <v>0.0991426265004353</v>
      </c>
      <c r="V25" s="37" t="n">
        <f aca="false">IFERROR(IRR($A$23:V23),-1)</f>
        <v>0.100208120002601</v>
      </c>
      <c r="W25" s="37" t="n">
        <f aca="false">IFERROR(IRR($A$23:W23),-1)</f>
        <v>0.101147642525718</v>
      </c>
      <c r="X25" s="37" t="n">
        <f aca="false">IFERROR(IRR($A$23:X23),-1)</f>
        <v>0.101977313063893</v>
      </c>
      <c r="Y25" s="37" t="n">
        <f aca="false">IFERROR(IRR($A$23:Y23),-1)</f>
        <v>0.102711000119339</v>
      </c>
      <c r="Z25" s="37" t="n">
        <f aca="false">IFERROR(IRR($A$23:Z23),-1)</f>
        <v>0.103360660617218</v>
      </c>
      <c r="AA25" s="37" t="n">
        <f aca="false">IFERROR(IRR($A$23:AA23),-1)</f>
        <v>0.103936625517993</v>
      </c>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7" t="s">
        <v>185</v>
      </c>
      <c r="C27" s="5"/>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26" t="s">
        <v>186</v>
      </c>
      <c r="C28" s="27" t="n">
        <f aca="false">C10*Depreciation_Tax!C15</f>
        <v>-110146.6984</v>
      </c>
      <c r="D28" s="27" t="n">
        <f aca="false">D10*Depreciation_Tax!D15</f>
        <v>-210020.7542022</v>
      </c>
      <c r="E28" s="27" t="n">
        <f aca="false">E10*Depreciation_Tax!E15</f>
        <v>-99098.726027884</v>
      </c>
      <c r="F28" s="27" t="n">
        <f aca="false">F10*Depreciation_Tax!F15</f>
        <v>-31700.8733103617</v>
      </c>
      <c r="G28" s="27" t="n">
        <f aca="false">G10*Depreciation_Tax!G15</f>
        <v>-2810809.02832745</v>
      </c>
      <c r="H28" s="27" t="n">
        <f aca="false">H10*Depreciation_Tax!H15</f>
        <v>2040716.65436797</v>
      </c>
      <c r="I28" s="27" t="n">
        <f aca="false">I10*Depreciation_Tax!I15</f>
        <v>6891767.10338905</v>
      </c>
      <c r="J28" s="27" t="n">
        <f aca="false">J10*Depreciation_Tax!J15</f>
        <v>7091114.51830897</v>
      </c>
      <c r="K28" s="27" t="n">
        <f aca="false">K10*Depreciation_Tax!K15</f>
        <v>7289930.25648114</v>
      </c>
      <c r="L28" s="27" t="n">
        <f aca="false">L10*Depreciation_Tax!L15</f>
        <v>7488184.81046877</v>
      </c>
      <c r="M28" s="27" t="n">
        <f aca="false">M10*Depreciation_Tax!M15</f>
        <v>7685847.7848953</v>
      </c>
      <c r="N28" s="27" t="n">
        <f aca="false">N10*Depreciation_Tax!N15</f>
        <v>7882887.8727012</v>
      </c>
      <c r="O28" s="27" t="n">
        <f aca="false">O10*Depreciation_Tax!O15</f>
        <v>8079272.83079215</v>
      </c>
      <c r="P28" s="27" t="n">
        <f aca="false">P10*Depreciation_Tax!P15</f>
        <v>8274969.45506319</v>
      </c>
      <c r="Q28" s="27" t="n">
        <f aca="false">Q10*Depreciation_Tax!Q15</f>
        <v>8469943.55478312</v>
      </c>
      <c r="R28" s="27" t="n">
        <f aca="false">R10*Depreciation_Tax!R15</f>
        <v>8664159.92632297</v>
      </c>
      <c r="S28" s="27" t="n">
        <f aca="false">S10*Depreciation_Tax!S15</f>
        <v>8857582.32621205</v>
      </c>
      <c r="T28" s="27" t="n">
        <f aca="false">T10*Depreciation_Tax!T15</f>
        <v>9050173.44350448</v>
      </c>
      <c r="U28" s="27" t="n">
        <f aca="false">U10*Depreciation_Tax!U15</f>
        <v>9241894.87143899</v>
      </c>
      <c r="V28" s="27" t="n">
        <f aca="false">V10*Depreciation_Tax!V15</f>
        <v>9268832.07837401</v>
      </c>
      <c r="W28" s="27" t="n">
        <f aca="false">W10*Depreciation_Tax!W15</f>
        <v>9294819.37797982</v>
      </c>
      <c r="X28" s="27" t="n">
        <f aca="false">X10*Depreciation_Tax!X15</f>
        <v>9319814.89866907</v>
      </c>
      <c r="Y28" s="27" t="n">
        <f aca="false">Y10*Depreciation_Tax!Y15</f>
        <v>9343775.55224635</v>
      </c>
      <c r="Z28" s="27" t="n">
        <f aca="false">Z10*Depreciation_Tax!Z15</f>
        <v>9366657.00175728</v>
      </c>
      <c r="AA28" s="27" t="n">
        <f aca="false">AA10*Depreciation_Tax!AA15</f>
        <v>9388413.62851678</v>
      </c>
    </row>
    <row r="29" customFormat="false" ht="15" hidden="false" customHeight="false" outlineLevel="0" collapsed="false">
      <c r="A29" s="5"/>
      <c r="B29" s="33" t="s">
        <v>187</v>
      </c>
      <c r="C29" s="36" t="n">
        <v>0</v>
      </c>
      <c r="D29" s="36" t="n">
        <f aca="false">C32</f>
        <v>110146.6984</v>
      </c>
      <c r="E29" s="36" t="n">
        <f aca="false">D32</f>
        <v>320167.4526022</v>
      </c>
      <c r="F29" s="36" t="n">
        <f aca="false">E32</f>
        <v>419266.178630084</v>
      </c>
      <c r="G29" s="36" t="n">
        <f aca="false">F32</f>
        <v>450967.051940446</v>
      </c>
      <c r="H29" s="36" t="n">
        <f aca="false">G32</f>
        <v>3261776.0802679</v>
      </c>
      <c r="I29" s="36" t="n">
        <f aca="false">H32</f>
        <v>1629202.75677353</v>
      </c>
      <c r="J29" s="36" t="n">
        <f aca="false">I32</f>
        <v>0</v>
      </c>
      <c r="K29" s="36" t="n">
        <f aca="false">J32</f>
        <v>0</v>
      </c>
      <c r="L29" s="36" t="n">
        <f aca="false">K32</f>
        <v>0</v>
      </c>
      <c r="M29" s="36" t="n">
        <f aca="false">L32</f>
        <v>0</v>
      </c>
      <c r="N29" s="36" t="n">
        <f aca="false">M32</f>
        <v>0</v>
      </c>
      <c r="O29" s="36" t="n">
        <f aca="false">N32</f>
        <v>0</v>
      </c>
      <c r="P29" s="36" t="n">
        <f aca="false">O32</f>
        <v>0</v>
      </c>
      <c r="Q29" s="36" t="n">
        <f aca="false">P32</f>
        <v>0</v>
      </c>
      <c r="R29" s="36" t="n">
        <f aca="false">Q32</f>
        <v>0</v>
      </c>
      <c r="S29" s="36" t="n">
        <f aca="false">R32</f>
        <v>0</v>
      </c>
      <c r="T29" s="36" t="n">
        <f aca="false">S32</f>
        <v>0</v>
      </c>
      <c r="U29" s="36" t="n">
        <f aca="false">T32</f>
        <v>0</v>
      </c>
      <c r="V29" s="36" t="n">
        <f aca="false">U32</f>
        <v>0</v>
      </c>
      <c r="W29" s="36" t="n">
        <f aca="false">V32</f>
        <v>0</v>
      </c>
      <c r="X29" s="36" t="n">
        <f aca="false">W32</f>
        <v>0</v>
      </c>
      <c r="Y29" s="36" t="n">
        <f aca="false">X32</f>
        <v>0</v>
      </c>
      <c r="Z29" s="36" t="n">
        <f aca="false">Y32</f>
        <v>0</v>
      </c>
      <c r="AA29" s="36" t="n">
        <f aca="false">Z32</f>
        <v>0</v>
      </c>
    </row>
    <row r="30" customFormat="false" ht="15" hidden="false" customHeight="false" outlineLevel="0" collapsed="false">
      <c r="A30" s="5"/>
      <c r="B30" s="26" t="s">
        <v>188</v>
      </c>
      <c r="C30" s="27" t="n">
        <f aca="false">MAX(0,-C28)</f>
        <v>110146.6984</v>
      </c>
      <c r="D30" s="27" t="n">
        <f aca="false">MAX(0,-D28)</f>
        <v>210020.7542022</v>
      </c>
      <c r="E30" s="27" t="n">
        <f aca="false">MAX(0,-E28)</f>
        <v>99098.726027884</v>
      </c>
      <c r="F30" s="27" t="n">
        <f aca="false">MAX(0,-F28)</f>
        <v>31700.8733103617</v>
      </c>
      <c r="G30" s="27" t="n">
        <f aca="false">MAX(0,-G28)</f>
        <v>2810809.02832745</v>
      </c>
      <c r="H30" s="27" t="n">
        <f aca="false">MAX(0,-H28)</f>
        <v>0</v>
      </c>
      <c r="I30" s="27" t="n">
        <f aca="false">MAX(0,-I28)</f>
        <v>0</v>
      </c>
      <c r="J30" s="27" t="n">
        <f aca="false">MAX(0,-J28)</f>
        <v>0</v>
      </c>
      <c r="K30" s="27" t="n">
        <f aca="false">MAX(0,-K28)</f>
        <v>0</v>
      </c>
      <c r="L30" s="27" t="n">
        <f aca="false">MAX(0,-L28)</f>
        <v>0</v>
      </c>
      <c r="M30" s="27" t="n">
        <f aca="false">MAX(0,-M28)</f>
        <v>0</v>
      </c>
      <c r="N30" s="27" t="n">
        <f aca="false">MAX(0,-N28)</f>
        <v>0</v>
      </c>
      <c r="O30" s="27" t="n">
        <f aca="false">MAX(0,-O28)</f>
        <v>0</v>
      </c>
      <c r="P30" s="27" t="n">
        <f aca="false">MAX(0,-P28)</f>
        <v>0</v>
      </c>
      <c r="Q30" s="27" t="n">
        <f aca="false">MAX(0,-Q28)</f>
        <v>0</v>
      </c>
      <c r="R30" s="27" t="n">
        <f aca="false">MAX(0,-R28)</f>
        <v>0</v>
      </c>
      <c r="S30" s="27" t="n">
        <f aca="false">MAX(0,-S28)</f>
        <v>0</v>
      </c>
      <c r="T30" s="27" t="n">
        <f aca="false">MAX(0,-T28)</f>
        <v>0</v>
      </c>
      <c r="U30" s="27" t="n">
        <f aca="false">MAX(0,-U28)</f>
        <v>0</v>
      </c>
      <c r="V30" s="27" t="n">
        <f aca="false">MAX(0,-V28)</f>
        <v>0</v>
      </c>
      <c r="W30" s="27" t="n">
        <f aca="false">MAX(0,-W28)</f>
        <v>0</v>
      </c>
      <c r="X30" s="27" t="n">
        <f aca="false">MAX(0,-X28)</f>
        <v>0</v>
      </c>
      <c r="Y30" s="27" t="n">
        <f aca="false">MAX(0,-Y28)</f>
        <v>0</v>
      </c>
      <c r="Z30" s="27" t="n">
        <f aca="false">MAX(0,-Z28)</f>
        <v>0</v>
      </c>
      <c r="AA30" s="27" t="n">
        <f aca="false">MAX(0,-AA28)</f>
        <v>0</v>
      </c>
    </row>
    <row r="31" customFormat="false" ht="15" hidden="false" customHeight="false" outlineLevel="0" collapsed="false">
      <c r="A31" s="5"/>
      <c r="B31" s="26" t="s">
        <v>189</v>
      </c>
      <c r="C31" s="27" t="n">
        <f aca="false">IF(C28&gt;0,MIN(C29,0.8*C28),0)</f>
        <v>0</v>
      </c>
      <c r="D31" s="27" t="n">
        <f aca="false">IF(D28&gt;0,MIN(D29,0.8*D28),0)</f>
        <v>0</v>
      </c>
      <c r="E31" s="27" t="n">
        <f aca="false">IF(E28&gt;0,MIN(E29,0.8*E28),0)</f>
        <v>0</v>
      </c>
      <c r="F31" s="27" t="n">
        <f aca="false">IF(F28&gt;0,MIN(F29,0.8*F28),0)</f>
        <v>0</v>
      </c>
      <c r="G31" s="27" t="n">
        <f aca="false">IF(G28&gt;0,MIN(G29,0.8*G28),0)</f>
        <v>0</v>
      </c>
      <c r="H31" s="27" t="n">
        <f aca="false">IF(H28&gt;0,MIN(H29,0.8*H28),0)</f>
        <v>1632573.32349437</v>
      </c>
      <c r="I31" s="27" t="n">
        <f aca="false">IF(I28&gt;0,MIN(I29,0.8*I28),0)</f>
        <v>1629202.75677353</v>
      </c>
      <c r="J31" s="27" t="n">
        <f aca="false">IF(J28&gt;0,MIN(J29,0.8*J28),0)</f>
        <v>0</v>
      </c>
      <c r="K31" s="27" t="n">
        <f aca="false">IF(K28&gt;0,MIN(K29,0.8*K28),0)</f>
        <v>0</v>
      </c>
      <c r="L31" s="27" t="n">
        <f aca="false">IF(L28&gt;0,MIN(L29,0.8*L28),0)</f>
        <v>0</v>
      </c>
      <c r="M31" s="27" t="n">
        <f aca="false">IF(M28&gt;0,MIN(M29,0.8*M28),0)</f>
        <v>0</v>
      </c>
      <c r="N31" s="27" t="n">
        <f aca="false">IF(N28&gt;0,MIN(N29,0.8*N28),0)</f>
        <v>0</v>
      </c>
      <c r="O31" s="27" t="n">
        <f aca="false">IF(O28&gt;0,MIN(O29,0.8*O28),0)</f>
        <v>0</v>
      </c>
      <c r="P31" s="27" t="n">
        <f aca="false">IF(P28&gt;0,MIN(P29,0.8*P28),0)</f>
        <v>0</v>
      </c>
      <c r="Q31" s="27" t="n">
        <f aca="false">IF(Q28&gt;0,MIN(Q29,0.8*Q28),0)</f>
        <v>0</v>
      </c>
      <c r="R31" s="27" t="n">
        <f aca="false">IF(R28&gt;0,MIN(R29,0.8*R28),0)</f>
        <v>0</v>
      </c>
      <c r="S31" s="27" t="n">
        <f aca="false">IF(S28&gt;0,MIN(S29,0.8*S28),0)</f>
        <v>0</v>
      </c>
      <c r="T31" s="27" t="n">
        <f aca="false">IF(T28&gt;0,MIN(T29,0.8*T28),0)</f>
        <v>0</v>
      </c>
      <c r="U31" s="27" t="n">
        <f aca="false">IF(U28&gt;0,MIN(U29,0.8*U28),0)</f>
        <v>0</v>
      </c>
      <c r="V31" s="27" t="n">
        <f aca="false">IF(V28&gt;0,MIN(V29,0.8*V28),0)</f>
        <v>0</v>
      </c>
      <c r="W31" s="27" t="n">
        <f aca="false">IF(W28&gt;0,MIN(W29,0.8*W28),0)</f>
        <v>0</v>
      </c>
      <c r="X31" s="27" t="n">
        <f aca="false">IF(X28&gt;0,MIN(X29,0.8*X28),0)</f>
        <v>0</v>
      </c>
      <c r="Y31" s="27" t="n">
        <f aca="false">IF(Y28&gt;0,MIN(Y29,0.8*Y28),0)</f>
        <v>0</v>
      </c>
      <c r="Z31" s="27" t="n">
        <f aca="false">IF(Z28&gt;0,MIN(Z29,0.8*Z28),0)</f>
        <v>0</v>
      </c>
      <c r="AA31" s="27" t="n">
        <f aca="false">IF(AA28&gt;0,MIN(AA29,0.8*AA28),0)</f>
        <v>0</v>
      </c>
    </row>
    <row r="32" customFormat="false" ht="15" hidden="false" customHeight="false" outlineLevel="0" collapsed="false">
      <c r="A32" s="5"/>
      <c r="B32" s="26" t="s">
        <v>190</v>
      </c>
      <c r="C32" s="27" t="n">
        <f aca="false">C29+C30-C31</f>
        <v>110146.6984</v>
      </c>
      <c r="D32" s="27" t="n">
        <f aca="false">D29+D30-D31</f>
        <v>320167.4526022</v>
      </c>
      <c r="E32" s="27" t="n">
        <f aca="false">E29+E30-E31</f>
        <v>419266.178630084</v>
      </c>
      <c r="F32" s="27" t="n">
        <f aca="false">F29+F30-F31</f>
        <v>450967.051940446</v>
      </c>
      <c r="G32" s="27" t="n">
        <f aca="false">G29+G30-G31</f>
        <v>3261776.0802679</v>
      </c>
      <c r="H32" s="27" t="n">
        <f aca="false">H29+H30-H31</f>
        <v>1629202.75677353</v>
      </c>
      <c r="I32" s="27" t="n">
        <f aca="false">I29+I30-I31</f>
        <v>0</v>
      </c>
      <c r="J32" s="27" t="n">
        <f aca="false">J29+J30-J31</f>
        <v>0</v>
      </c>
      <c r="K32" s="27" t="n">
        <f aca="false">K29+K30-K31</f>
        <v>0</v>
      </c>
      <c r="L32" s="27" t="n">
        <f aca="false">L29+L30-L31</f>
        <v>0</v>
      </c>
      <c r="M32" s="27" t="n">
        <f aca="false">M29+M30-M31</f>
        <v>0</v>
      </c>
      <c r="N32" s="27" t="n">
        <f aca="false">N29+N30-N31</f>
        <v>0</v>
      </c>
      <c r="O32" s="27" t="n">
        <f aca="false">O29+O30-O31</f>
        <v>0</v>
      </c>
      <c r="P32" s="27" t="n">
        <f aca="false">P29+P30-P31</f>
        <v>0</v>
      </c>
      <c r="Q32" s="27" t="n">
        <f aca="false">Q29+Q30-Q31</f>
        <v>0</v>
      </c>
      <c r="R32" s="27" t="n">
        <f aca="false">R29+R30-R31</f>
        <v>0</v>
      </c>
      <c r="S32" s="27" t="n">
        <f aca="false">S29+S30-S31</f>
        <v>0</v>
      </c>
      <c r="T32" s="27" t="n">
        <f aca="false">T29+T30-T31</f>
        <v>0</v>
      </c>
      <c r="U32" s="27" t="n">
        <f aca="false">U29+U30-U31</f>
        <v>0</v>
      </c>
      <c r="V32" s="27" t="n">
        <f aca="false">V29+V30-V31</f>
        <v>0</v>
      </c>
      <c r="W32" s="27" t="n">
        <f aca="false">W29+W30-W31</f>
        <v>0</v>
      </c>
      <c r="X32" s="27" t="n">
        <f aca="false">X29+X30-X31</f>
        <v>0</v>
      </c>
      <c r="Y32" s="27" t="n">
        <f aca="false">Y29+Y30-Y31</f>
        <v>0</v>
      </c>
      <c r="Z32" s="27" t="n">
        <f aca="false">Z29+Z30-Z31</f>
        <v>0</v>
      </c>
      <c r="AA32" s="27" t="n">
        <f aca="false">AA29+AA30-AA31</f>
        <v>0</v>
      </c>
    </row>
    <row r="33" customFormat="false" ht="15" hidden="false" customHeight="false" outlineLevel="0" collapsed="false">
      <c r="A33" s="5"/>
      <c r="B33" s="26" t="s">
        <v>191</v>
      </c>
      <c r="C33" s="27" t="n">
        <f aca="false">C28-C31</f>
        <v>-110146.6984</v>
      </c>
      <c r="D33" s="27" t="n">
        <f aca="false">D28-D31</f>
        <v>-210020.7542022</v>
      </c>
      <c r="E33" s="27" t="n">
        <f aca="false">E28-E31</f>
        <v>-99098.726027884</v>
      </c>
      <c r="F33" s="27" t="n">
        <f aca="false">F28-F31</f>
        <v>-31700.8733103617</v>
      </c>
      <c r="G33" s="27" t="n">
        <f aca="false">G28-G31</f>
        <v>-2810809.02832745</v>
      </c>
      <c r="H33" s="27" t="n">
        <f aca="false">H28-H31</f>
        <v>408143.330873594</v>
      </c>
      <c r="I33" s="27" t="n">
        <f aca="false">I28-I31</f>
        <v>5262564.34661552</v>
      </c>
      <c r="J33" s="27" t="n">
        <f aca="false">J28-J31</f>
        <v>7091114.51830897</v>
      </c>
      <c r="K33" s="27" t="n">
        <f aca="false">K28-K31</f>
        <v>7289930.25648114</v>
      </c>
      <c r="L33" s="27" t="n">
        <f aca="false">L28-L31</f>
        <v>7488184.81046877</v>
      </c>
      <c r="M33" s="27" t="n">
        <f aca="false">M28-M31</f>
        <v>7685847.7848953</v>
      </c>
      <c r="N33" s="27" t="n">
        <f aca="false">N28-N31</f>
        <v>7882887.8727012</v>
      </c>
      <c r="O33" s="27" t="n">
        <f aca="false">O28-O31</f>
        <v>8079272.83079215</v>
      </c>
      <c r="P33" s="27" t="n">
        <f aca="false">P28-P31</f>
        <v>8274969.45506319</v>
      </c>
      <c r="Q33" s="27" t="n">
        <f aca="false">Q28-Q31</f>
        <v>8469943.55478312</v>
      </c>
      <c r="R33" s="27" t="n">
        <f aca="false">R28-R31</f>
        <v>8664159.92632297</v>
      </c>
      <c r="S33" s="27" t="n">
        <f aca="false">S28-S31</f>
        <v>8857582.32621205</v>
      </c>
      <c r="T33" s="27" t="n">
        <f aca="false">T28-T31</f>
        <v>9050173.44350448</v>
      </c>
      <c r="U33" s="27" t="n">
        <f aca="false">U28-U31</f>
        <v>9241894.87143899</v>
      </c>
      <c r="V33" s="27" t="n">
        <f aca="false">V28-V31</f>
        <v>9268832.07837401</v>
      </c>
      <c r="W33" s="27" t="n">
        <f aca="false">W28-W31</f>
        <v>9294819.37797982</v>
      </c>
      <c r="X33" s="27" t="n">
        <f aca="false">X28-X31</f>
        <v>9319814.89866907</v>
      </c>
      <c r="Y33" s="27" t="n">
        <f aca="false">Y28-Y31</f>
        <v>9343775.55224635</v>
      </c>
      <c r="Z33" s="27" t="n">
        <f aca="false">Z28-Z31</f>
        <v>9366657.00175728</v>
      </c>
      <c r="AA33" s="27" t="n">
        <f aca="false">AA28-AA31</f>
        <v>9388413.62851678</v>
      </c>
    </row>
    <row r="34" customFormat="false" ht="15" hidden="false" customHeight="false" outlineLevel="0" collapsed="false">
      <c r="A34" s="5"/>
      <c r="B34" s="26" t="s">
        <v>192</v>
      </c>
      <c r="C34" s="27" t="n">
        <f aca="false">-C33*Combined_Tax_Rate</f>
        <v>28638.141584</v>
      </c>
      <c r="D34" s="27" t="n">
        <f aca="false">-D33*Combined_Tax_Rate</f>
        <v>54605.3960925721</v>
      </c>
      <c r="E34" s="27" t="n">
        <f aca="false">-E33*Combined_Tax_Rate</f>
        <v>25765.6687672499</v>
      </c>
      <c r="F34" s="27" t="n">
        <f aca="false">-F33*Combined_Tax_Rate</f>
        <v>8242.22706069405</v>
      </c>
      <c r="G34" s="27" t="n">
        <f aca="false">-G33*Combined_Tax_Rate</f>
        <v>730810.347365138</v>
      </c>
      <c r="H34" s="27" t="n">
        <f aca="false">-H33*Combined_Tax_Rate</f>
        <v>-106117.266027134</v>
      </c>
      <c r="I34" s="27" t="n">
        <f aca="false">-I33*Combined_Tax_Rate</f>
        <v>-1368266.73012004</v>
      </c>
      <c r="J34" s="27" t="n">
        <f aca="false">-J33*Combined_Tax_Rate</f>
        <v>-1843689.77476033</v>
      </c>
      <c r="K34" s="27" t="n">
        <f aca="false">-K33*Combined_Tax_Rate</f>
        <v>-1895381.8666851</v>
      </c>
      <c r="L34" s="27" t="n">
        <f aca="false">-L33*Combined_Tax_Rate</f>
        <v>-1946928.05072188</v>
      </c>
      <c r="M34" s="27" t="n">
        <f aca="false">-M33*Combined_Tax_Rate</f>
        <v>-1998320.42407278</v>
      </c>
      <c r="N34" s="27" t="n">
        <f aca="false">-N33*Combined_Tax_Rate</f>
        <v>-2049550.84690231</v>
      </c>
      <c r="O34" s="27" t="n">
        <f aca="false">-O33*Combined_Tax_Rate</f>
        <v>-2100610.93600596</v>
      </c>
      <c r="P34" s="27" t="n">
        <f aca="false">-P33*Combined_Tax_Rate</f>
        <v>-2151492.05831643</v>
      </c>
      <c r="Q34" s="27" t="n">
        <f aca="false">-Q33*Combined_Tax_Rate</f>
        <v>-2202185.32424361</v>
      </c>
      <c r="R34" s="27" t="n">
        <f aca="false">-R33*Combined_Tax_Rate</f>
        <v>-2252681.58084397</v>
      </c>
      <c r="S34" s="27" t="n">
        <f aca="false">-S33*Combined_Tax_Rate</f>
        <v>-2302971.40481513</v>
      </c>
      <c r="T34" s="27" t="n">
        <f aca="false">-T33*Combined_Tax_Rate</f>
        <v>-2353045.09531116</v>
      </c>
      <c r="U34" s="27" t="n">
        <f aca="false">-U33*Combined_Tax_Rate</f>
        <v>-2402892.66657414</v>
      </c>
      <c r="V34" s="27" t="n">
        <f aca="false">-V33*Combined_Tax_Rate</f>
        <v>-2409896.34037724</v>
      </c>
      <c r="W34" s="27" t="n">
        <f aca="false">-W33*Combined_Tax_Rate</f>
        <v>-2416653.03827475</v>
      </c>
      <c r="X34" s="27" t="n">
        <f aca="false">-X33*Combined_Tax_Rate</f>
        <v>-2423151.87365396</v>
      </c>
      <c r="Y34" s="27" t="n">
        <f aca="false">-Y33*Combined_Tax_Rate</f>
        <v>-2429381.64358405</v>
      </c>
      <c r="Z34" s="27" t="n">
        <f aca="false">-Z33*Combined_Tax_Rate</f>
        <v>-2435330.82045689</v>
      </c>
      <c r="AA34" s="27" t="n">
        <f aca="false">-AA33*Combined_Tax_Rate</f>
        <v>-2440987.54341436</v>
      </c>
    </row>
    <row r="35" customFormat="false" ht="15" hidden="false" customHeight="false" outlineLevel="0" collapsed="false">
      <c r="A35" s="5"/>
      <c r="B35" s="26" t="s">
        <v>166</v>
      </c>
      <c r="C35" s="27" t="n">
        <f aca="false">Cash_Waterfall!C37</f>
        <v>1924214.604</v>
      </c>
      <c r="D35" s="27" t="n">
        <f aca="false">Cash_Waterfall!D37</f>
        <v>2059963.476857</v>
      </c>
      <c r="E35" s="27" t="n">
        <f aca="false">Cash_Waterfall!E37</f>
        <v>2195396.87068754</v>
      </c>
      <c r="F35" s="27" t="n">
        <f aca="false">Cash_Waterfall!F37</f>
        <v>2330496.39888899</v>
      </c>
      <c r="G35" s="27" t="n">
        <f aca="false">Cash_Waterfall!G37</f>
        <v>3603047.63475848</v>
      </c>
      <c r="H35" s="27" t="n">
        <f aca="false">Cash_Waterfall!H37</f>
        <v>3799440.98403105</v>
      </c>
      <c r="I35" s="27" t="n">
        <f aca="false">Cash_Waterfall!I37</f>
        <v>3995260.79129371</v>
      </c>
      <c r="J35" s="27" t="n">
        <f aca="false">Cash_Waterfall!J37</f>
        <v>4190476.79841124</v>
      </c>
      <c r="K35" s="27" t="n">
        <f aca="false">Cash_Waterfall!K37</f>
        <v>4385057.84358597</v>
      </c>
      <c r="L35" s="27" t="n">
        <f aca="false">Cash_Waterfall!L37</f>
        <v>4578971.83725123</v>
      </c>
      <c r="M35" s="27" t="n">
        <f aca="false">Cash_Waterfall!M37</f>
        <v>4772185.73734732</v>
      </c>
      <c r="N35" s="27" t="n">
        <f aca="false">Cash_Waterfall!N37</f>
        <v>4964665.52396452</v>
      </c>
      <c r="O35" s="27" t="n">
        <f aca="false">Cash_Waterfall!O37</f>
        <v>5156376.17333705</v>
      </c>
      <c r="P35" s="27" t="n">
        <f aca="false">Cash_Waterfall!P37</f>
        <v>5347281.63117171</v>
      </c>
      <c r="Q35" s="27" t="n">
        <f aca="false">Cash_Waterfall!Q37</f>
        <v>5537344.78529435</v>
      </c>
      <c r="R35" s="27" t="n">
        <f aca="false">Cash_Waterfall!R37</f>
        <v>5726527.437597</v>
      </c>
      <c r="S35" s="27" t="n">
        <f aca="false">Cash_Waterfall!S37</f>
        <v>5914790.27526792</v>
      </c>
      <c r="T35" s="27" t="n">
        <f aca="false">Cash_Waterfall!T37</f>
        <v>6102092.84128674</v>
      </c>
      <c r="U35" s="27" t="n">
        <f aca="false">Cash_Waterfall!U37</f>
        <v>9019643.50416581</v>
      </c>
      <c r="V35" s="27" t="n">
        <f aca="false">Cash_Waterfall!V37</f>
        <v>9041024.426919</v>
      </c>
      <c r="W35" s="27" t="n">
        <f aca="false">Cash_Waterfall!W37</f>
        <v>9061316.53523844</v>
      </c>
      <c r="X35" s="27" t="n">
        <f aca="false">Cash_Waterfall!X37</f>
        <v>9080474.48485915</v>
      </c>
      <c r="Y35" s="27" t="n">
        <f aca="false">Cash_Waterfall!Y37</f>
        <v>9098451.62809118</v>
      </c>
      <c r="Z35" s="27" t="n">
        <f aca="false">Cash_Waterfall!Z37</f>
        <v>9115199.97949824</v>
      </c>
      <c r="AA35" s="27" t="n">
        <f aca="false">Cash_Waterfall!AA37</f>
        <v>9130670.18070126</v>
      </c>
    </row>
    <row r="36" customFormat="false" ht="15" hidden="false" customHeight="false" outlineLevel="0" collapsed="false">
      <c r="A36" s="30" t="n">
        <f aca="false">-Sponsor_Equity</f>
        <v>-10350000</v>
      </c>
      <c r="B36" s="29" t="s">
        <v>193</v>
      </c>
      <c r="C36" s="30" t="n">
        <f aca="false">C35+C34</f>
        <v>1952852.745584</v>
      </c>
      <c r="D36" s="30" t="n">
        <f aca="false">D35+D34</f>
        <v>2114568.87294957</v>
      </c>
      <c r="E36" s="30" t="n">
        <f aca="false">E35+E34</f>
        <v>2221162.53945479</v>
      </c>
      <c r="F36" s="30" t="n">
        <f aca="false">F35+F34</f>
        <v>2338738.62594968</v>
      </c>
      <c r="G36" s="30" t="n">
        <f aca="false">G35+G34</f>
        <v>4333857.98212362</v>
      </c>
      <c r="H36" s="30" t="n">
        <f aca="false">H35+H34</f>
        <v>3693323.71800392</v>
      </c>
      <c r="I36" s="30" t="n">
        <f aca="false">I35+I34</f>
        <v>2626994.06117368</v>
      </c>
      <c r="J36" s="30" t="n">
        <f aca="false">J35+J34</f>
        <v>2346787.02365091</v>
      </c>
      <c r="K36" s="30" t="n">
        <f aca="false">K35+K34</f>
        <v>2489675.97690088</v>
      </c>
      <c r="L36" s="30" t="n">
        <f aca="false">L35+L34</f>
        <v>2632043.78652935</v>
      </c>
      <c r="M36" s="30" t="n">
        <f aca="false">M35+M34</f>
        <v>2773865.31327454</v>
      </c>
      <c r="N36" s="30" t="n">
        <f aca="false">N35+N34</f>
        <v>2915114.67706221</v>
      </c>
      <c r="O36" s="30" t="n">
        <f aca="false">O35+O34</f>
        <v>3055765.23733109</v>
      </c>
      <c r="P36" s="30" t="n">
        <f aca="false">P35+P34</f>
        <v>3195789.57285529</v>
      </c>
      <c r="Q36" s="30" t="n">
        <f aca="false">Q35+Q34</f>
        <v>3335159.46105074</v>
      </c>
      <c r="R36" s="30" t="n">
        <f aca="false">R35+R34</f>
        <v>3473845.85675302</v>
      </c>
      <c r="S36" s="30" t="n">
        <f aca="false">S35+S34</f>
        <v>3611818.87045279</v>
      </c>
      <c r="T36" s="30" t="n">
        <f aca="false">T35+T34</f>
        <v>3749047.74597558</v>
      </c>
      <c r="U36" s="30" t="n">
        <f aca="false">U35+U34</f>
        <v>6616750.83759167</v>
      </c>
      <c r="V36" s="30" t="n">
        <f aca="false">V35+V34</f>
        <v>6631128.08654176</v>
      </c>
      <c r="W36" s="30" t="n">
        <f aca="false">W35+W34</f>
        <v>6644663.49696368</v>
      </c>
      <c r="X36" s="30" t="n">
        <f aca="false">X35+X34</f>
        <v>6657322.61120519</v>
      </c>
      <c r="Y36" s="30" t="n">
        <f aca="false">Y35+Y34</f>
        <v>6669069.98450713</v>
      </c>
      <c r="Z36" s="30" t="n">
        <f aca="false">Z35+Z34</f>
        <v>6679869.15904134</v>
      </c>
      <c r="AA36" s="30" t="n">
        <f aca="false">AA35+AA34</f>
        <v>6689682.6372869</v>
      </c>
    </row>
    <row r="37" customFormat="false" ht="15" hidden="false" customHeight="false" outlineLevel="0" collapsed="false">
      <c r="A37" s="5"/>
      <c r="B37" s="33" t="s">
        <v>194</v>
      </c>
      <c r="C37" s="36" t="n">
        <f aca="false">C36</f>
        <v>1952852.745584</v>
      </c>
      <c r="D37" s="36" t="n">
        <f aca="false">C37+D36</f>
        <v>4067421.61853357</v>
      </c>
      <c r="E37" s="36" t="n">
        <f aca="false">D37+E36</f>
        <v>6288584.15798836</v>
      </c>
      <c r="F37" s="36" t="n">
        <f aca="false">E37+F36</f>
        <v>8627322.78393805</v>
      </c>
      <c r="G37" s="36" t="n">
        <f aca="false">F37+G36</f>
        <v>12961180.7660617</v>
      </c>
      <c r="H37" s="36" t="n">
        <f aca="false">G37+H36</f>
        <v>16654504.4840656</v>
      </c>
      <c r="I37" s="36" t="n">
        <f aca="false">H37+I36</f>
        <v>19281498.5452393</v>
      </c>
      <c r="J37" s="36" t="n">
        <f aca="false">I37+J36</f>
        <v>21628285.5688902</v>
      </c>
      <c r="K37" s="36" t="n">
        <f aca="false">J37+K36</f>
        <v>24117961.5457911</v>
      </c>
      <c r="L37" s="36" t="n">
        <f aca="false">K37+L36</f>
        <v>26750005.3323204</v>
      </c>
      <c r="M37" s="36" t="n">
        <f aca="false">L37+M36</f>
        <v>29523870.645595</v>
      </c>
      <c r="N37" s="36" t="n">
        <f aca="false">M37+N36</f>
        <v>32438985.3226572</v>
      </c>
      <c r="O37" s="36" t="n">
        <f aca="false">N37+O36</f>
        <v>35494750.5599883</v>
      </c>
      <c r="P37" s="36" t="n">
        <f aca="false">O37+P36</f>
        <v>38690540.1328435</v>
      </c>
      <c r="Q37" s="36" t="n">
        <f aca="false">P37+Q36</f>
        <v>42025699.5938943</v>
      </c>
      <c r="R37" s="36" t="n">
        <f aca="false">Q37+R36</f>
        <v>45499545.4506473</v>
      </c>
      <c r="S37" s="36" t="n">
        <f aca="false">R37+S36</f>
        <v>49111364.3211001</v>
      </c>
      <c r="T37" s="36" t="n">
        <f aca="false">S37+T36</f>
        <v>52860412.0670757</v>
      </c>
      <c r="U37" s="36" t="n">
        <f aca="false">T37+U36</f>
        <v>59477162.9046674</v>
      </c>
      <c r="V37" s="36" t="n">
        <f aca="false">U37+V36</f>
        <v>66108290.9912091</v>
      </c>
      <c r="W37" s="36" t="n">
        <f aca="false">V37+W36</f>
        <v>72752954.4881728</v>
      </c>
      <c r="X37" s="36" t="n">
        <f aca="false">W37+X36</f>
        <v>79410277.099378</v>
      </c>
      <c r="Y37" s="36" t="n">
        <f aca="false">X37+Y36</f>
        <v>86079347.0838851</v>
      </c>
      <c r="Z37" s="36" t="n">
        <f aca="false">Y37+Z36</f>
        <v>92759216.2429265</v>
      </c>
      <c r="AA37" s="36" t="n">
        <f aca="false">Z37+AA36</f>
        <v>99448898.8802134</v>
      </c>
    </row>
    <row r="38" customFormat="false" ht="15" hidden="false" customHeight="false" outlineLevel="0" collapsed="false">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customFormat="false" ht="15" hidden="false" customHeight="false" outlineLevel="0" collapsed="false">
      <c r="A39" s="5"/>
      <c r="B39" s="8" t="s">
        <v>195</v>
      </c>
      <c r="C39" s="22" t="n">
        <f aca="false">TE_Target_Yield</f>
        <v>0.07</v>
      </c>
      <c r="D39" s="5"/>
      <c r="E39" s="5"/>
      <c r="F39" s="5"/>
      <c r="G39" s="5"/>
      <c r="H39" s="5"/>
      <c r="I39" s="5"/>
      <c r="J39" s="5"/>
      <c r="K39" s="5"/>
      <c r="L39" s="5"/>
      <c r="M39" s="5"/>
      <c r="N39" s="5"/>
      <c r="O39" s="5"/>
      <c r="P39" s="5"/>
      <c r="Q39" s="5"/>
      <c r="R39" s="5"/>
      <c r="S39" s="5"/>
      <c r="T39" s="5"/>
      <c r="U39" s="5"/>
      <c r="V39" s="5"/>
      <c r="W39" s="5"/>
      <c r="X39" s="5"/>
      <c r="Y39" s="5"/>
      <c r="Z39" s="5"/>
      <c r="AA3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6EFCE"/>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16"/>
    <col collapsed="false" customWidth="true" hidden="false" outlineLevel="0" max="2" min="2" style="0" width="42"/>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24" t="s">
        <v>196</v>
      </c>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197</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27" t="n">
        <f aca="false">-Total_Project_Cost</f>
        <v>-103500000</v>
      </c>
      <c r="B7" s="33" t="s">
        <v>198</v>
      </c>
      <c r="C7" s="36" t="n">
        <f aca="false">Cash_Waterfall!C26</f>
        <v>8940330.16</v>
      </c>
      <c r="D7" s="36" t="n">
        <f aca="false">Cash_Waterfall!D26</f>
        <v>8976674.57978</v>
      </c>
      <c r="E7" s="36" t="n">
        <f aca="false">Cash_Waterfall!E26</f>
        <v>9012533.64721161</v>
      </c>
      <c r="F7" s="36" t="n">
        <f aca="false">Cash_Waterfall!F26</f>
        <v>9047879.07521383</v>
      </c>
      <c r="G7" s="36" t="n">
        <f aca="false">Cash_Waterfall!G26</f>
        <v>9082681.7207984</v>
      </c>
      <c r="H7" s="36" t="n">
        <f aca="false">Cash_Waterfall!H26</f>
        <v>9116911.56213795</v>
      </c>
      <c r="I7" s="36" t="n">
        <f aca="false">Cash_Waterfall!I26</f>
        <v>9150537.67504601</v>
      </c>
      <c r="J7" s="36" t="n">
        <f aca="false">Cash_Waterfall!J26</f>
        <v>9183528.20885394</v>
      </c>
      <c r="K7" s="36" t="n">
        <f aca="false">Cash_Waterfall!K26</f>
        <v>9215850.36166945</v>
      </c>
      <c r="L7" s="36" t="n">
        <f aca="false">Cash_Waterfall!L26</f>
        <v>9247470.35500129</v>
      </c>
      <c r="M7" s="36" t="n">
        <f aca="false">Cash_Waterfall!M26</f>
        <v>9278353.40773402</v>
      </c>
      <c r="N7" s="36" t="n">
        <f aca="false">Cash_Waterfall!N26</f>
        <v>9308463.70943634</v>
      </c>
      <c r="O7" s="36" t="n">
        <f aca="false">Cash_Waterfall!O26</f>
        <v>9337764.39298637</v>
      </c>
      <c r="P7" s="36" t="n">
        <f aca="false">Cash_Waterfall!P26</f>
        <v>9366217.50649654</v>
      </c>
      <c r="Q7" s="36" t="n">
        <f aca="false">Cash_Waterfall!Q26</f>
        <v>9393783.98452037</v>
      </c>
      <c r="R7" s="36" t="n">
        <f aca="false">Cash_Waterfall!R26</f>
        <v>9420423.61852315</v>
      </c>
      <c r="S7" s="36" t="n">
        <f aca="false">Cash_Waterfall!S26</f>
        <v>9446095.02659781</v>
      </c>
      <c r="T7" s="36" t="n">
        <f aca="false">Cash_Waterfall!T26</f>
        <v>9470755.6224071</v>
      </c>
      <c r="U7" s="36" t="n">
        <f aca="false">Cash_Waterfall!U26</f>
        <v>9494361.58333243</v>
      </c>
      <c r="V7" s="36" t="n">
        <f aca="false">Cash_Waterfall!V26</f>
        <v>9516867.81780947</v>
      </c>
      <c r="W7" s="36" t="n">
        <f aca="false">Cash_Waterfall!W26</f>
        <v>9538227.93182994</v>
      </c>
      <c r="X7" s="36" t="n">
        <f aca="false">Cash_Waterfall!X26</f>
        <v>9558394.19458858</v>
      </c>
      <c r="Y7" s="36" t="n">
        <f aca="false">Cash_Waterfall!Y26</f>
        <v>9577317.50325388</v>
      </c>
      <c r="Z7" s="36" t="n">
        <f aca="false">Cash_Waterfall!Z26</f>
        <v>9594947.34684025</v>
      </c>
      <c r="AA7" s="36" t="n">
        <f aca="false">Cash_Waterfall!AA26</f>
        <v>9611231.76915922</v>
      </c>
    </row>
    <row r="8" customFormat="false" ht="15" hidden="false" customHeight="false" outlineLevel="0" collapsed="false">
      <c r="A8" s="5"/>
      <c r="B8" s="8" t="s">
        <v>199</v>
      </c>
      <c r="C8" s="22" t="n">
        <f aca="false">IRR(A7:AA7)</f>
        <v>0.0741188673996466</v>
      </c>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row>
    <row r="10" customFormat="false" ht="15" hidden="false" customHeight="false" outlineLevel="0" collapsed="false">
      <c r="A10" s="5"/>
      <c r="B10" s="7" t="s">
        <v>200</v>
      </c>
      <c r="C10" s="5"/>
      <c r="D10" s="5"/>
      <c r="E10" s="5"/>
      <c r="F10" s="5"/>
      <c r="G10" s="5"/>
      <c r="H10" s="5"/>
      <c r="I10" s="5"/>
      <c r="J10" s="5"/>
      <c r="K10" s="5"/>
      <c r="L10" s="5"/>
      <c r="M10" s="5"/>
      <c r="N10" s="5"/>
      <c r="O10" s="5"/>
      <c r="P10" s="5"/>
      <c r="Q10" s="5"/>
      <c r="R10" s="5"/>
      <c r="S10" s="5"/>
      <c r="T10" s="5"/>
      <c r="U10" s="5"/>
      <c r="V10" s="5"/>
      <c r="W10" s="5"/>
      <c r="X10" s="5"/>
      <c r="Y10" s="5"/>
      <c r="Z10" s="5"/>
      <c r="AA10" s="5"/>
    </row>
    <row r="11" customFormat="false" ht="15" hidden="false" customHeight="false" outlineLevel="0" collapsed="false">
      <c r="A11" s="27" t="n">
        <f aca="false">-TE_Investment</f>
        <v>-41400000</v>
      </c>
      <c r="B11" s="33" t="s">
        <v>201</v>
      </c>
      <c r="C11" s="36" t="n">
        <f aca="false">Flip_Analysis!C23</f>
        <v>33571291.572816</v>
      </c>
      <c r="D11" s="36" t="n">
        <f aca="false">Flip_Analysis!D23</f>
        <v>6515145.31608763</v>
      </c>
      <c r="E11" s="36" t="n">
        <f aca="false">Flip_Analysis!E23</f>
        <v>3732937.98448179</v>
      </c>
      <c r="F11" s="36" t="n">
        <f aca="false">Flip_Analysis!F23</f>
        <v>2070863.15533355</v>
      </c>
      <c r="G11" s="36" t="n">
        <f aca="false">Flip_Analysis!G23</f>
        <v>228097.788532822</v>
      </c>
      <c r="H11" s="36" t="n">
        <f aca="false">Flip_Analysis!H23</f>
        <v>194385.458842312</v>
      </c>
      <c r="I11" s="36" t="n">
        <f aca="false">Flip_Analysis!I23</f>
        <v>191415.205364078</v>
      </c>
      <c r="J11" s="36" t="n">
        <f aca="false">Flip_Analysis!J23</f>
        <v>201144.149655746</v>
      </c>
      <c r="K11" s="36" t="n">
        <f aca="false">Flip_Analysis!K23</f>
        <v>210841.130013103</v>
      </c>
      <c r="L11" s="36" t="n">
        <f aca="false">Flip_Analysis!L23</f>
        <v>220504.538268782</v>
      </c>
      <c r="M11" s="36" t="n">
        <f aca="false">Flip_Analysis!M23</f>
        <v>230132.718554356</v>
      </c>
      <c r="N11" s="36" t="n">
        <f aca="false">Flip_Analysis!N23</f>
        <v>239723.96603074</v>
      </c>
      <c r="O11" s="36" t="n">
        <f aca="false">Flip_Analysis!O23</f>
        <v>249276.525586098</v>
      </c>
      <c r="P11" s="36" t="n">
        <f aca="false">Flip_Analysis!P23</f>
        <v>258788.590500444</v>
      </c>
      <c r="Q11" s="36" t="n">
        <f aca="false">Flip_Analysis!Q23</f>
        <v>268258.301076086</v>
      </c>
      <c r="R11" s="36" t="n">
        <f aca="false">Flip_Analysis!R23</f>
        <v>277683.743233063</v>
      </c>
      <c r="S11" s="36" t="n">
        <f aca="false">Flip_Analysis!S23</f>
        <v>287062.947068679</v>
      </c>
      <c r="T11" s="36" t="n">
        <f aca="false">Flip_Analysis!T23</f>
        <v>296393.885380238</v>
      </c>
      <c r="U11" s="36" t="n">
        <f aca="false">Flip_Analysis!U23</f>
        <v>449424.472150052</v>
      </c>
      <c r="V11" s="36" t="n">
        <f aca="false">Flip_Analysis!V23</f>
        <v>450476.060991766</v>
      </c>
      <c r="W11" s="36" t="n">
        <f aca="false">Flip_Analysis!W23</f>
        <v>451472.943557026</v>
      </c>
      <c r="X11" s="36" t="n">
        <f aca="false">Flip_Analysis!X23</f>
        <v>452412.847901493</v>
      </c>
      <c r="Y11" s="36" t="n">
        <f aca="false">Flip_Analysis!Y23</f>
        <v>453293.436809177</v>
      </c>
      <c r="Z11" s="36" t="n">
        <f aca="false">Flip_Analysis!Z23</f>
        <v>454112.306074045</v>
      </c>
      <c r="AA11" s="36" t="n">
        <f aca="false">Flip_Analysis!AA23</f>
        <v>454866.98273781</v>
      </c>
    </row>
    <row r="12" customFormat="false" ht="15" hidden="false" customHeight="false" outlineLevel="0" collapsed="false">
      <c r="A12" s="5"/>
      <c r="B12" s="8" t="s">
        <v>202</v>
      </c>
      <c r="C12" s="22" t="n">
        <f aca="false">IRR(A11:AA11)</f>
        <v>0.103936625517993</v>
      </c>
      <c r="D12" s="5"/>
      <c r="E12" s="5"/>
      <c r="F12" s="5"/>
      <c r="G12" s="5"/>
      <c r="H12" s="5"/>
      <c r="I12" s="5"/>
      <c r="J12" s="5"/>
      <c r="K12" s="5"/>
      <c r="L12" s="5"/>
      <c r="M12" s="5"/>
      <c r="N12" s="5"/>
      <c r="O12" s="5"/>
      <c r="P12" s="5"/>
      <c r="Q12" s="5"/>
      <c r="R12" s="5"/>
      <c r="S12" s="5"/>
      <c r="T12" s="5"/>
      <c r="U12" s="5"/>
      <c r="V12" s="5"/>
      <c r="W12" s="5"/>
      <c r="X12" s="5"/>
      <c r="Y12" s="5"/>
      <c r="Z12" s="5"/>
      <c r="AA12" s="5"/>
    </row>
    <row r="13" customFormat="false" ht="15" hidden="false" customHeight="false" outlineLevel="0" collapsed="false">
      <c r="A13" s="5"/>
      <c r="B13" s="6" t="s">
        <v>203</v>
      </c>
      <c r="C13" s="19" t="n">
        <f aca="false">TE_Target_Yield</f>
        <v>0.07</v>
      </c>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8" t="s">
        <v>204</v>
      </c>
      <c r="C14" s="38" t="n">
        <f aca="false">IFERROR(MATCH(1,Flip_Analysis!C7:AA7,0),"never")</f>
        <v>5</v>
      </c>
      <c r="D14" s="5"/>
      <c r="E14" s="5"/>
      <c r="F14" s="5"/>
      <c r="G14" s="5"/>
      <c r="H14" s="5"/>
      <c r="I14" s="5"/>
      <c r="J14" s="5"/>
      <c r="K14" s="5"/>
      <c r="L14" s="5"/>
      <c r="M14" s="5"/>
      <c r="N14" s="5"/>
      <c r="O14" s="5"/>
      <c r="P14" s="5"/>
      <c r="Q14" s="5"/>
      <c r="R14" s="5"/>
      <c r="S14" s="5"/>
      <c r="T14" s="5"/>
      <c r="U14" s="5"/>
      <c r="V14" s="5"/>
      <c r="W14" s="5"/>
      <c r="X14" s="5"/>
      <c r="Y14" s="5"/>
      <c r="Z14" s="5"/>
      <c r="AA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row>
    <row r="16" customFormat="false" ht="15" hidden="false" customHeight="false" outlineLevel="0" collapsed="false">
      <c r="A16" s="5"/>
      <c r="B16" s="7" t="s">
        <v>205</v>
      </c>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27" t="n">
        <f aca="false">-Sponsor_Equity</f>
        <v>-10350000</v>
      </c>
      <c r="B17" s="33" t="s">
        <v>206</v>
      </c>
      <c r="C17" s="36" t="n">
        <f aca="false">Flip_Analysis!C36</f>
        <v>1952852.745584</v>
      </c>
      <c r="D17" s="36" t="n">
        <f aca="false">Flip_Analysis!D36</f>
        <v>2114568.87294957</v>
      </c>
      <c r="E17" s="36" t="n">
        <f aca="false">Flip_Analysis!E36</f>
        <v>2221162.53945479</v>
      </c>
      <c r="F17" s="36" t="n">
        <f aca="false">Flip_Analysis!F36</f>
        <v>2338738.62594968</v>
      </c>
      <c r="G17" s="36" t="n">
        <f aca="false">Flip_Analysis!G36</f>
        <v>4333857.98212362</v>
      </c>
      <c r="H17" s="36" t="n">
        <f aca="false">Flip_Analysis!H36</f>
        <v>3693323.71800392</v>
      </c>
      <c r="I17" s="36" t="n">
        <f aca="false">Flip_Analysis!I36</f>
        <v>2626994.06117368</v>
      </c>
      <c r="J17" s="36" t="n">
        <f aca="false">Flip_Analysis!J36</f>
        <v>2346787.02365091</v>
      </c>
      <c r="K17" s="36" t="n">
        <f aca="false">Flip_Analysis!K36</f>
        <v>2489675.97690088</v>
      </c>
      <c r="L17" s="36" t="n">
        <f aca="false">Flip_Analysis!L36</f>
        <v>2632043.78652935</v>
      </c>
      <c r="M17" s="36" t="n">
        <f aca="false">Flip_Analysis!M36</f>
        <v>2773865.31327454</v>
      </c>
      <c r="N17" s="36" t="n">
        <f aca="false">Flip_Analysis!N36</f>
        <v>2915114.67706221</v>
      </c>
      <c r="O17" s="36" t="n">
        <f aca="false">Flip_Analysis!O36</f>
        <v>3055765.23733109</v>
      </c>
      <c r="P17" s="36" t="n">
        <f aca="false">Flip_Analysis!P36</f>
        <v>3195789.57285529</v>
      </c>
      <c r="Q17" s="36" t="n">
        <f aca="false">Flip_Analysis!Q36</f>
        <v>3335159.46105074</v>
      </c>
      <c r="R17" s="36" t="n">
        <f aca="false">Flip_Analysis!R36</f>
        <v>3473845.85675302</v>
      </c>
      <c r="S17" s="36" t="n">
        <f aca="false">Flip_Analysis!S36</f>
        <v>3611818.87045279</v>
      </c>
      <c r="T17" s="36" t="n">
        <f aca="false">Flip_Analysis!T36</f>
        <v>3749047.74597558</v>
      </c>
      <c r="U17" s="36" t="n">
        <f aca="false">Flip_Analysis!U36</f>
        <v>6616750.83759167</v>
      </c>
      <c r="V17" s="36" t="n">
        <f aca="false">Flip_Analysis!V36</f>
        <v>6631128.08654176</v>
      </c>
      <c r="W17" s="36" t="n">
        <f aca="false">Flip_Analysis!W36</f>
        <v>6644663.49696368</v>
      </c>
      <c r="X17" s="36" t="n">
        <f aca="false">Flip_Analysis!X36</f>
        <v>6657322.61120519</v>
      </c>
      <c r="Y17" s="36" t="n">
        <f aca="false">Flip_Analysis!Y36</f>
        <v>6669069.98450713</v>
      </c>
      <c r="Z17" s="36" t="n">
        <f aca="false">Flip_Analysis!Z36</f>
        <v>6679869.15904134</v>
      </c>
      <c r="AA17" s="36" t="n">
        <f aca="false">Flip_Analysis!AA36</f>
        <v>6689682.6372869</v>
      </c>
    </row>
    <row r="18" customFormat="false" ht="15" hidden="false" customHeight="false" outlineLevel="0" collapsed="false">
      <c r="A18" s="5"/>
      <c r="B18" s="8" t="s">
        <v>207</v>
      </c>
      <c r="C18" s="22" t="n">
        <f aca="false">IRR(A17:AA17)</f>
        <v>0.252090459877072</v>
      </c>
      <c r="D18" s="5"/>
      <c r="E18" s="5"/>
      <c r="F18" s="5"/>
      <c r="G18" s="5"/>
      <c r="H18" s="5"/>
      <c r="I18" s="5"/>
      <c r="J18" s="5"/>
      <c r="K18" s="5"/>
      <c r="L18" s="5"/>
      <c r="M18" s="5"/>
      <c r="N18" s="5"/>
      <c r="O18" s="5"/>
      <c r="P18" s="5"/>
      <c r="Q18" s="5"/>
      <c r="R18" s="5"/>
      <c r="S18" s="5"/>
      <c r="T18" s="5"/>
      <c r="U18" s="5"/>
      <c r="V18" s="5"/>
      <c r="W18" s="5"/>
      <c r="X18" s="5"/>
      <c r="Y18" s="5"/>
      <c r="Z18" s="5"/>
      <c r="AA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7" t="s">
        <v>208</v>
      </c>
      <c r="C20" s="5"/>
      <c r="D20" s="5"/>
      <c r="E20" s="5"/>
      <c r="F20" s="5"/>
      <c r="G20" s="5"/>
      <c r="H20" s="5"/>
      <c r="I20" s="5"/>
      <c r="J20" s="5"/>
      <c r="K20" s="5"/>
      <c r="L20" s="5"/>
      <c r="M20" s="5"/>
      <c r="N20" s="5"/>
      <c r="O20" s="5"/>
      <c r="P20" s="5"/>
      <c r="Q20" s="5"/>
      <c r="R20" s="5"/>
      <c r="S20" s="5"/>
      <c r="T20" s="5"/>
      <c r="U20" s="5"/>
      <c r="V20" s="5"/>
      <c r="W20" s="5"/>
      <c r="X20" s="5"/>
      <c r="Y20" s="5"/>
      <c r="Z20" s="5"/>
      <c r="AA20" s="5"/>
    </row>
    <row r="21" customFormat="false" ht="15" hidden="false" customHeight="false" outlineLevel="0" collapsed="false">
      <c r="A21" s="5"/>
      <c r="B21" s="8" t="s">
        <v>209</v>
      </c>
      <c r="C21" s="39" t="n">
        <f aca="false">C25/C26</f>
        <v>60.2594537128055</v>
      </c>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33" t="s">
        <v>210</v>
      </c>
      <c r="C23" s="36" t="n">
        <f aca="false">ABS(OpEx!C11)+ABS(OpEx!C14)</f>
        <v>2450000</v>
      </c>
      <c r="D23" s="36" t="n">
        <f aca="false">ABS(OpEx!D11)+ABS(OpEx!D14)</f>
        <v>2511250</v>
      </c>
      <c r="E23" s="36" t="n">
        <f aca="false">ABS(OpEx!E11)+ABS(OpEx!E14)</f>
        <v>2574031.25</v>
      </c>
      <c r="F23" s="36" t="n">
        <f aca="false">ABS(OpEx!F11)+ABS(OpEx!F14)</f>
        <v>2638382.03125</v>
      </c>
      <c r="G23" s="36" t="n">
        <f aca="false">ABS(OpEx!G11)+ABS(OpEx!G14)</f>
        <v>2704341.58203125</v>
      </c>
      <c r="H23" s="36" t="n">
        <f aca="false">ABS(OpEx!H11)+ABS(OpEx!H14)</f>
        <v>2771950.12158203</v>
      </c>
      <c r="I23" s="36" t="n">
        <f aca="false">ABS(OpEx!I11)+ABS(OpEx!I14)</f>
        <v>2841248.87462158</v>
      </c>
      <c r="J23" s="36" t="n">
        <f aca="false">ABS(OpEx!J11)+ABS(OpEx!J14)</f>
        <v>2912280.09648712</v>
      </c>
      <c r="K23" s="36" t="n">
        <f aca="false">ABS(OpEx!K11)+ABS(OpEx!K14)</f>
        <v>2985087.0988993</v>
      </c>
      <c r="L23" s="36" t="n">
        <f aca="false">ABS(OpEx!L11)+ABS(OpEx!L14)</f>
        <v>3059714.27637178</v>
      </c>
      <c r="M23" s="36" t="n">
        <f aca="false">ABS(OpEx!M11)+ABS(OpEx!M14)</f>
        <v>3136207.13328107</v>
      </c>
      <c r="N23" s="36" t="n">
        <f aca="false">ABS(OpEx!N11)+ABS(OpEx!N14)</f>
        <v>3214612.3116131</v>
      </c>
      <c r="O23" s="36" t="n">
        <f aca="false">ABS(OpEx!O11)+ABS(OpEx!O14)</f>
        <v>3294977.61940343</v>
      </c>
      <c r="P23" s="36" t="n">
        <f aca="false">ABS(OpEx!P11)+ABS(OpEx!P14)</f>
        <v>3377352.05988851</v>
      </c>
      <c r="Q23" s="36" t="n">
        <f aca="false">ABS(OpEx!Q11)+ABS(OpEx!Q14)</f>
        <v>3461785.86138573</v>
      </c>
      <c r="R23" s="36" t="n">
        <f aca="false">ABS(OpEx!R11)+ABS(OpEx!R14)</f>
        <v>3548330.50792037</v>
      </c>
      <c r="S23" s="36" t="n">
        <f aca="false">ABS(OpEx!S11)+ABS(OpEx!S14)</f>
        <v>3637038.77061838</v>
      </c>
      <c r="T23" s="36" t="n">
        <f aca="false">ABS(OpEx!T11)+ABS(OpEx!T14)</f>
        <v>3727964.73988384</v>
      </c>
      <c r="U23" s="36" t="n">
        <f aca="false">ABS(OpEx!U11)+ABS(OpEx!U14)</f>
        <v>3821163.85838093</v>
      </c>
      <c r="V23" s="36" t="n">
        <f aca="false">ABS(OpEx!V11)+ABS(OpEx!V14)</f>
        <v>3916692.95484045</v>
      </c>
      <c r="W23" s="36" t="n">
        <f aca="false">ABS(OpEx!W11)+ABS(OpEx!W14)</f>
        <v>4014610.27871147</v>
      </c>
      <c r="X23" s="36" t="n">
        <f aca="false">ABS(OpEx!X11)+ABS(OpEx!X14)</f>
        <v>4114975.53567925</v>
      </c>
      <c r="Y23" s="36" t="n">
        <f aca="false">ABS(OpEx!Y11)+ABS(OpEx!Y14)</f>
        <v>4217849.92407123</v>
      </c>
      <c r="Z23" s="36" t="n">
        <f aca="false">ABS(OpEx!Z11)+ABS(OpEx!Z14)</f>
        <v>4323296.17217301</v>
      </c>
      <c r="AA23" s="36" t="n">
        <f aca="false">ABS(OpEx!AA11)+ABS(OpEx!AA14)</f>
        <v>4431378.57647734</v>
      </c>
    </row>
    <row r="24" customFormat="false" ht="15" hidden="false" customHeight="false" outlineLevel="0" collapsed="false">
      <c r="A24" s="5"/>
      <c r="B24" s="33" t="s">
        <v>211</v>
      </c>
      <c r="C24" s="36" t="n">
        <f aca="false">Generation!C11</f>
        <v>207096.912</v>
      </c>
      <c r="D24" s="36" t="n">
        <f aca="false">Generation!D11</f>
        <v>206061.42744</v>
      </c>
      <c r="E24" s="36" t="n">
        <f aca="false">Generation!E11</f>
        <v>205031.1203028</v>
      </c>
      <c r="F24" s="36" t="n">
        <f aca="false">Generation!F11</f>
        <v>204005.964701286</v>
      </c>
      <c r="G24" s="36" t="n">
        <f aca="false">Generation!G11</f>
        <v>202985.93487778</v>
      </c>
      <c r="H24" s="36" t="n">
        <f aca="false">Generation!H11</f>
        <v>201971.005203391</v>
      </c>
      <c r="I24" s="36" t="n">
        <f aca="false">Generation!I11</f>
        <v>200961.150177374</v>
      </c>
      <c r="J24" s="36" t="n">
        <f aca="false">Generation!J11</f>
        <v>199956.344426487</v>
      </c>
      <c r="K24" s="36" t="n">
        <f aca="false">Generation!K11</f>
        <v>198956.562704354</v>
      </c>
      <c r="L24" s="36" t="n">
        <f aca="false">Generation!L11</f>
        <v>197961.779890833</v>
      </c>
      <c r="M24" s="36" t="n">
        <f aca="false">Generation!M11</f>
        <v>196971.970991378</v>
      </c>
      <c r="N24" s="36" t="n">
        <f aca="false">Generation!N11</f>
        <v>195987.111136422</v>
      </c>
      <c r="O24" s="36" t="n">
        <f aca="false">Generation!O11</f>
        <v>195007.175580739</v>
      </c>
      <c r="P24" s="36" t="n">
        <f aca="false">Generation!P11</f>
        <v>194032.139702836</v>
      </c>
      <c r="Q24" s="36" t="n">
        <f aca="false">Generation!Q11</f>
        <v>193061.979004322</v>
      </c>
      <c r="R24" s="36" t="n">
        <f aca="false">Generation!R11</f>
        <v>192096.6691093</v>
      </c>
      <c r="S24" s="36" t="n">
        <f aca="false">Generation!S11</f>
        <v>191136.185763753</v>
      </c>
      <c r="T24" s="36" t="n">
        <f aca="false">Generation!T11</f>
        <v>190180.504834935</v>
      </c>
      <c r="U24" s="36" t="n">
        <f aca="false">Generation!U11</f>
        <v>189229.60231076</v>
      </c>
      <c r="V24" s="36" t="n">
        <f aca="false">Generation!V11</f>
        <v>188283.454299206</v>
      </c>
      <c r="W24" s="36" t="n">
        <f aca="false">Generation!W11</f>
        <v>187342.03702771</v>
      </c>
      <c r="X24" s="36" t="n">
        <f aca="false">Generation!X11</f>
        <v>186405.326842572</v>
      </c>
      <c r="Y24" s="36" t="n">
        <f aca="false">Generation!Y11</f>
        <v>185473.300208359</v>
      </c>
      <c r="Z24" s="36" t="n">
        <f aca="false">Generation!Z11</f>
        <v>184545.933707317</v>
      </c>
      <c r="AA24" s="36" t="n">
        <f aca="false">Generation!AA11</f>
        <v>183623.20403878</v>
      </c>
    </row>
    <row r="25" customFormat="false" ht="15" hidden="false" customHeight="false" outlineLevel="0" collapsed="false">
      <c r="A25" s="5"/>
      <c r="B25" s="6" t="s">
        <v>212</v>
      </c>
      <c r="C25" s="18" t="n">
        <f aca="false">Total_Project_Cost+NPV(Discount_Rate,C23:AA23)</f>
        <v>139346893.234316</v>
      </c>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6" t="s">
        <v>213</v>
      </c>
      <c r="C26" s="18" t="n">
        <f aca="false">NPV(Discount_Rate,C24:AA24)</f>
        <v>2312448.66404596</v>
      </c>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7" t="s">
        <v>214</v>
      </c>
      <c r="C28" s="5"/>
      <c r="D28" s="5"/>
      <c r="E28" s="5"/>
      <c r="F28" s="5"/>
      <c r="G28" s="5"/>
      <c r="H28" s="5"/>
      <c r="I28" s="5"/>
      <c r="J28" s="5"/>
      <c r="K28" s="5"/>
      <c r="L28" s="5"/>
      <c r="M28" s="5"/>
      <c r="N28" s="5"/>
      <c r="O28" s="5"/>
      <c r="P28" s="5"/>
      <c r="Q28" s="5"/>
      <c r="R28" s="5"/>
      <c r="S28" s="5"/>
      <c r="T28" s="5"/>
      <c r="U28" s="5"/>
      <c r="V28" s="5"/>
      <c r="W28" s="5"/>
      <c r="X28" s="5"/>
      <c r="Y28" s="5"/>
      <c r="Z28" s="5"/>
      <c r="AA28" s="5"/>
    </row>
    <row r="29" customFormat="false" ht="15" hidden="false" customHeight="false" outlineLevel="0" collapsed="false">
      <c r="A29" s="5"/>
      <c r="B29" s="6" t="s">
        <v>215</v>
      </c>
      <c r="C29" s="18" t="n">
        <f aca="false">Total_Project_Cost-ITC_Amount</f>
        <v>73500000</v>
      </c>
      <c r="D29" s="5"/>
      <c r="E29" s="5"/>
      <c r="F29" s="5"/>
      <c r="G29" s="5"/>
      <c r="H29" s="5"/>
      <c r="I29" s="5"/>
      <c r="J29" s="5"/>
      <c r="K29" s="5"/>
      <c r="L29" s="5"/>
      <c r="M29" s="5"/>
      <c r="N29" s="5"/>
      <c r="O29" s="5"/>
      <c r="P29" s="5"/>
      <c r="Q29" s="5"/>
      <c r="R29" s="5"/>
      <c r="S29" s="5"/>
      <c r="T29" s="5"/>
      <c r="U29" s="5"/>
      <c r="V29" s="5"/>
      <c r="W29" s="5"/>
      <c r="X29" s="5"/>
      <c r="Y29" s="5"/>
      <c r="Z29" s="5"/>
      <c r="AA29" s="5"/>
    </row>
    <row r="30" customFormat="false" ht="15" hidden="false" customHeight="false" outlineLevel="0" collapsed="false">
      <c r="A30" s="5"/>
      <c r="B30" s="33" t="s">
        <v>216</v>
      </c>
      <c r="C30" s="36" t="n">
        <f aca="false">C23*(1-Combined_Tax_Rate)</f>
        <v>1813000</v>
      </c>
      <c r="D30" s="36" t="n">
        <f aca="false">D23*(1-Combined_Tax_Rate)</f>
        <v>1858325</v>
      </c>
      <c r="E30" s="36" t="n">
        <f aca="false">E23*(1-Combined_Tax_Rate)</f>
        <v>1904783.125</v>
      </c>
      <c r="F30" s="36" t="n">
        <f aca="false">F23*(1-Combined_Tax_Rate)</f>
        <v>1952402.703125</v>
      </c>
      <c r="G30" s="36" t="n">
        <f aca="false">G23*(1-Combined_Tax_Rate)</f>
        <v>2001212.77070312</v>
      </c>
      <c r="H30" s="36" t="n">
        <f aca="false">H23*(1-Combined_Tax_Rate)</f>
        <v>2051243.0899707</v>
      </c>
      <c r="I30" s="36" t="n">
        <f aca="false">I23*(1-Combined_Tax_Rate)</f>
        <v>2102524.16721997</v>
      </c>
      <c r="J30" s="36" t="n">
        <f aca="false">J23*(1-Combined_Tax_Rate)</f>
        <v>2155087.27140047</v>
      </c>
      <c r="K30" s="36" t="n">
        <f aca="false">K23*(1-Combined_Tax_Rate)</f>
        <v>2208964.45318548</v>
      </c>
      <c r="L30" s="36" t="n">
        <f aca="false">L23*(1-Combined_Tax_Rate)</f>
        <v>2264188.56451512</v>
      </c>
      <c r="M30" s="36" t="n">
        <f aca="false">M23*(1-Combined_Tax_Rate)</f>
        <v>2320793.27862799</v>
      </c>
      <c r="N30" s="36" t="n">
        <f aca="false">N23*(1-Combined_Tax_Rate)</f>
        <v>2378813.11059369</v>
      </c>
      <c r="O30" s="36" t="n">
        <f aca="false">O23*(1-Combined_Tax_Rate)</f>
        <v>2438283.43835854</v>
      </c>
      <c r="P30" s="36" t="n">
        <f aca="false">P23*(1-Combined_Tax_Rate)</f>
        <v>2499240.5243175</v>
      </c>
      <c r="Q30" s="36" t="n">
        <f aca="false">Q23*(1-Combined_Tax_Rate)</f>
        <v>2561721.53742544</v>
      </c>
      <c r="R30" s="36" t="n">
        <f aca="false">R23*(1-Combined_Tax_Rate)</f>
        <v>2625764.57586107</v>
      </c>
      <c r="S30" s="36" t="n">
        <f aca="false">S23*(1-Combined_Tax_Rate)</f>
        <v>2691408.6902576</v>
      </c>
      <c r="T30" s="36" t="n">
        <f aca="false">T23*(1-Combined_Tax_Rate)</f>
        <v>2758693.90751404</v>
      </c>
      <c r="U30" s="36" t="n">
        <f aca="false">U23*(1-Combined_Tax_Rate)</f>
        <v>2827661.25520189</v>
      </c>
      <c r="V30" s="36" t="n">
        <f aca="false">V23*(1-Combined_Tax_Rate)</f>
        <v>2898352.78658194</v>
      </c>
      <c r="W30" s="36" t="n">
        <f aca="false">W23*(1-Combined_Tax_Rate)</f>
        <v>2970811.60624649</v>
      </c>
      <c r="X30" s="36" t="n">
        <f aca="false">X23*(1-Combined_Tax_Rate)</f>
        <v>3045081.89640265</v>
      </c>
      <c r="Y30" s="36" t="n">
        <f aca="false">Y23*(1-Combined_Tax_Rate)</f>
        <v>3121208.94381271</v>
      </c>
      <c r="Z30" s="36" t="n">
        <f aca="false">Z23*(1-Combined_Tax_Rate)</f>
        <v>3199239.16740803</v>
      </c>
      <c r="AA30" s="36" t="n">
        <f aca="false">AA23*(1-Combined_Tax_Rate)</f>
        <v>3279220.14659323</v>
      </c>
    </row>
    <row r="31" customFormat="false" ht="15" hidden="false" customHeight="false" outlineLevel="0" collapsed="false">
      <c r="A31" s="5"/>
      <c r="B31" s="33" t="s">
        <v>217</v>
      </c>
      <c r="C31" s="36" t="n">
        <f aca="false">-Depreciation_Tax!C8*Combined_Tax_Rate</f>
        <v>4420000</v>
      </c>
      <c r="D31" s="36" t="n">
        <f aca="false">-Depreciation_Tax!D8*Combined_Tax_Rate</f>
        <v>7072000</v>
      </c>
      <c r="E31" s="36" t="n">
        <f aca="false">-Depreciation_Tax!E8*Combined_Tax_Rate</f>
        <v>4243200</v>
      </c>
      <c r="F31" s="36" t="n">
        <f aca="false">-Depreciation_Tax!F8*Combined_Tax_Rate</f>
        <v>2545920</v>
      </c>
      <c r="G31" s="36" t="n">
        <f aca="false">-Depreciation_Tax!G8*Combined_Tax_Rate</f>
        <v>2545920</v>
      </c>
      <c r="H31" s="36" t="n">
        <f aca="false">-Depreciation_Tax!H8*Combined_Tax_Rate</f>
        <v>1272960</v>
      </c>
      <c r="I31" s="36" t="n">
        <f aca="false">-Depreciation_Tax!I8*Combined_Tax_Rate</f>
        <v>-0</v>
      </c>
      <c r="J31" s="36" t="n">
        <f aca="false">-Depreciation_Tax!J8*Combined_Tax_Rate</f>
        <v>-0</v>
      </c>
      <c r="K31" s="36" t="n">
        <f aca="false">-Depreciation_Tax!K8*Combined_Tax_Rate</f>
        <v>-0</v>
      </c>
      <c r="L31" s="36" t="n">
        <f aca="false">-Depreciation_Tax!L8*Combined_Tax_Rate</f>
        <v>-0</v>
      </c>
      <c r="M31" s="36" t="n">
        <f aca="false">-Depreciation_Tax!M8*Combined_Tax_Rate</f>
        <v>-0</v>
      </c>
      <c r="N31" s="36" t="n">
        <f aca="false">-Depreciation_Tax!N8*Combined_Tax_Rate</f>
        <v>-0</v>
      </c>
      <c r="O31" s="36" t="n">
        <f aca="false">-Depreciation_Tax!O8*Combined_Tax_Rate</f>
        <v>-0</v>
      </c>
      <c r="P31" s="36" t="n">
        <f aca="false">-Depreciation_Tax!P8*Combined_Tax_Rate</f>
        <v>-0</v>
      </c>
      <c r="Q31" s="36" t="n">
        <f aca="false">-Depreciation_Tax!Q8*Combined_Tax_Rate</f>
        <v>-0</v>
      </c>
      <c r="R31" s="36" t="n">
        <f aca="false">-Depreciation_Tax!R8*Combined_Tax_Rate</f>
        <v>-0</v>
      </c>
      <c r="S31" s="36" t="n">
        <f aca="false">-Depreciation_Tax!S8*Combined_Tax_Rate</f>
        <v>-0</v>
      </c>
      <c r="T31" s="36" t="n">
        <f aca="false">-Depreciation_Tax!T8*Combined_Tax_Rate</f>
        <v>-0</v>
      </c>
      <c r="U31" s="36" t="n">
        <f aca="false">-Depreciation_Tax!U8*Combined_Tax_Rate</f>
        <v>-0</v>
      </c>
      <c r="V31" s="36" t="n">
        <f aca="false">-Depreciation_Tax!V8*Combined_Tax_Rate</f>
        <v>-0</v>
      </c>
      <c r="W31" s="36" t="n">
        <f aca="false">-Depreciation_Tax!W8*Combined_Tax_Rate</f>
        <v>-0</v>
      </c>
      <c r="X31" s="36" t="n">
        <f aca="false">-Depreciation_Tax!X8*Combined_Tax_Rate</f>
        <v>-0</v>
      </c>
      <c r="Y31" s="36" t="n">
        <f aca="false">-Depreciation_Tax!Y8*Combined_Tax_Rate</f>
        <v>-0</v>
      </c>
      <c r="Z31" s="36" t="n">
        <f aca="false">-Depreciation_Tax!Z8*Combined_Tax_Rate</f>
        <v>-0</v>
      </c>
      <c r="AA31" s="36" t="n">
        <f aca="false">-Depreciation_Tax!AA8*Combined_Tax_Rate</f>
        <v>-0</v>
      </c>
    </row>
    <row r="32" customFormat="false" ht="15" hidden="false" customHeight="false" outlineLevel="0" collapsed="false">
      <c r="A32" s="5"/>
      <c r="B32" s="6" t="s">
        <v>218</v>
      </c>
      <c r="C32" s="18" t="n">
        <f aca="false">NPV(Discount_Rate,C30:AA30)</f>
        <v>26526700.993394</v>
      </c>
      <c r="D32" s="5"/>
      <c r="E32" s="5"/>
      <c r="F32" s="5"/>
      <c r="G32" s="5"/>
      <c r="H32" s="5"/>
      <c r="I32" s="5"/>
      <c r="J32" s="5"/>
      <c r="K32" s="5"/>
      <c r="L32" s="5"/>
      <c r="M32" s="5"/>
      <c r="N32" s="5"/>
      <c r="O32" s="5"/>
      <c r="P32" s="5"/>
      <c r="Q32" s="5"/>
      <c r="R32" s="5"/>
      <c r="S32" s="5"/>
      <c r="T32" s="5"/>
      <c r="U32" s="5"/>
      <c r="V32" s="5"/>
      <c r="W32" s="5"/>
      <c r="X32" s="5"/>
      <c r="Y32" s="5"/>
      <c r="Z32" s="5"/>
      <c r="AA32" s="5"/>
    </row>
    <row r="33" customFormat="false" ht="15" hidden="false" customHeight="false" outlineLevel="0" collapsed="false">
      <c r="A33" s="5"/>
      <c r="B33" s="6" t="s">
        <v>219</v>
      </c>
      <c r="C33" s="18" t="n">
        <f aca="false">NPV(Discount_Rate,C31:AA31)</f>
        <v>18377217.9086233</v>
      </c>
      <c r="D33" s="5"/>
      <c r="E33" s="5"/>
      <c r="F33" s="5"/>
      <c r="G33" s="5"/>
      <c r="H33" s="5"/>
      <c r="I33" s="5"/>
      <c r="J33" s="5"/>
      <c r="K33" s="5"/>
      <c r="L33" s="5"/>
      <c r="M33" s="5"/>
      <c r="N33" s="5"/>
      <c r="O33" s="5"/>
      <c r="P33" s="5"/>
      <c r="Q33" s="5"/>
      <c r="R33" s="5"/>
      <c r="S33" s="5"/>
      <c r="T33" s="5"/>
      <c r="U33" s="5"/>
      <c r="V33" s="5"/>
      <c r="W33" s="5"/>
      <c r="X33" s="5"/>
      <c r="Y33" s="5"/>
      <c r="Z33" s="5"/>
      <c r="AA33" s="5"/>
    </row>
    <row r="34" customFormat="false" ht="15" hidden="false" customHeight="false" outlineLevel="0" collapsed="false">
      <c r="A34" s="5"/>
      <c r="B34" s="8" t="s">
        <v>220</v>
      </c>
      <c r="C34" s="39" t="n">
        <f aca="false">(C29+C32-C33)/C26</f>
        <v>35.3086684060321</v>
      </c>
      <c r="D34" s="5"/>
      <c r="E34" s="5"/>
      <c r="F34" s="5"/>
      <c r="G34" s="5"/>
      <c r="H34" s="5"/>
      <c r="I34" s="5"/>
      <c r="J34" s="5"/>
      <c r="K34" s="5"/>
      <c r="L34" s="5"/>
      <c r="M34" s="5"/>
      <c r="N34" s="5"/>
      <c r="O34" s="5"/>
      <c r="P34" s="5"/>
      <c r="Q34" s="5"/>
      <c r="R34" s="5"/>
      <c r="S34" s="5"/>
      <c r="T34" s="5"/>
      <c r="U34" s="5"/>
      <c r="V34" s="5"/>
      <c r="W34" s="5"/>
      <c r="X34" s="5"/>
      <c r="Y34" s="5"/>
      <c r="Z34" s="5"/>
      <c r="AA34" s="5"/>
    </row>
    <row r="35" customFormat="false" ht="15" hidden="false" customHeight="false" outlineLevel="0" collapsed="false">
      <c r="A35" s="5"/>
      <c r="B35" s="6" t="s">
        <v>221</v>
      </c>
      <c r="C35" s="19" t="n">
        <f aca="false">Discount_Rate</f>
        <v>0.07</v>
      </c>
      <c r="D35" s="5"/>
      <c r="E35" s="5"/>
      <c r="F35" s="5"/>
      <c r="G35" s="5"/>
      <c r="H35" s="5"/>
      <c r="I35" s="5"/>
      <c r="J35" s="5"/>
      <c r="K35" s="5"/>
      <c r="L35" s="5"/>
      <c r="M35" s="5"/>
      <c r="N35" s="5"/>
      <c r="O35" s="5"/>
      <c r="P35" s="5"/>
      <c r="Q35" s="5"/>
      <c r="R35" s="5"/>
      <c r="S35" s="5"/>
      <c r="T35" s="5"/>
      <c r="U35" s="5"/>
      <c r="V35" s="5"/>
      <c r="W35" s="5"/>
      <c r="X35" s="5"/>
      <c r="Y35" s="5"/>
      <c r="Z35" s="5"/>
      <c r="AA35"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6EFCE"/>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48"/>
    <col collapsed="false" customWidth="true" hidden="false" outlineLevel="0" max="27" min="3" style="0" width="13"/>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row>
    <row r="5" customFormat="false" ht="15" hidden="false" customHeight="false" outlineLevel="0" collapsed="false">
      <c r="A5" s="5"/>
      <c r="B5" s="5"/>
      <c r="C5" s="5"/>
      <c r="D5" s="5"/>
    </row>
    <row r="6" customFormat="false" ht="15" hidden="false" customHeight="false" outlineLevel="0" collapsed="false">
      <c r="A6" s="5"/>
      <c r="B6" s="7" t="s">
        <v>222</v>
      </c>
      <c r="C6" s="5"/>
      <c r="D6" s="5"/>
    </row>
    <row r="7" customFormat="false" ht="15" hidden="false" customHeight="false" outlineLevel="0" collapsed="false">
      <c r="A7" s="5"/>
      <c r="B7" s="40" t="s">
        <v>223</v>
      </c>
      <c r="C7" s="40" t="s">
        <v>224</v>
      </c>
      <c r="D7" s="40" t="s">
        <v>225</v>
      </c>
    </row>
    <row r="8" customFormat="false" ht="15" hidden="false" customHeight="false" outlineLevel="0" collapsed="false">
      <c r="A8" s="5"/>
      <c r="B8" s="6" t="s">
        <v>226</v>
      </c>
      <c r="C8" s="18" t="n">
        <f aca="false">Sources_Uses!C19-Sources_Uses!C13</f>
        <v>0</v>
      </c>
      <c r="D8" s="41" t="str">
        <f aca="false">IF(ABS(C8)&lt;1,"PASS","FAIL")</f>
        <v>PASS</v>
      </c>
    </row>
    <row r="9" customFormat="false" ht="15" hidden="false" customHeight="false" outlineLevel="0" collapsed="false">
      <c r="A9" s="5"/>
      <c r="B9" s="6" t="s">
        <v>227</v>
      </c>
      <c r="C9" s="42" t="n">
        <f aca="false">MIN(Debt_Schedule!C15:T15)</f>
        <v>1.49503848829431</v>
      </c>
      <c r="D9" s="41" t="str">
        <f aca="false">IF(C9&gt;=1.2,"PASS","FAIL")</f>
        <v>PASS</v>
      </c>
    </row>
    <row r="10" customFormat="false" ht="15" hidden="false" customHeight="false" outlineLevel="0" collapsed="false">
      <c r="A10" s="5"/>
      <c r="B10" s="6" t="s">
        <v>228</v>
      </c>
      <c r="C10" s="18" t="n">
        <f aca="false">Debt_Schedule!T10</f>
        <v>0</v>
      </c>
      <c r="D10" s="41" t="str">
        <f aca="false">IF(ABS(C10)&lt;1,"PASS","FAIL")</f>
        <v>PASS</v>
      </c>
    </row>
    <row r="11" customFormat="false" ht="15" hidden="false" customHeight="false" outlineLevel="0" collapsed="false">
      <c r="A11" s="5"/>
      <c r="B11" s="6" t="s">
        <v>229</v>
      </c>
      <c r="C11" s="18" t="n">
        <f aca="false">-SUM(Depreciation_Tax!C8:H8)</f>
        <v>85000000</v>
      </c>
      <c r="D11" s="41" t="str">
        <f aca="false">IF(ABS(C11-MACRS_Basis)&lt;1,"PASS","FAIL")</f>
        <v>PASS</v>
      </c>
    </row>
    <row r="12" customFormat="false" ht="15" hidden="false" customHeight="false" outlineLevel="0" collapsed="false">
      <c r="A12" s="5"/>
      <c r="B12" s="6" t="s">
        <v>230</v>
      </c>
      <c r="C12" s="18" t="n">
        <f aca="false">MIN(Depreciation_Tax!C21:AA21)</f>
        <v>0</v>
      </c>
      <c r="D12" s="41" t="str">
        <f aca="false">IF(C12&gt;=0,"PASS","FAIL")</f>
        <v>PASS</v>
      </c>
    </row>
    <row r="13" customFormat="false" ht="15" hidden="false" customHeight="false" outlineLevel="0" collapsed="false">
      <c r="A13" s="5"/>
      <c r="B13" s="6" t="s">
        <v>231</v>
      </c>
      <c r="C13" s="18" t="n">
        <f aca="false">MAX(Depreciation_Tax!C25:AA25)</f>
        <v>-0</v>
      </c>
      <c r="D13" s="41" t="str">
        <f aca="false">IF(C13&lt;=0,"PASS","FAIL")</f>
        <v>PASS</v>
      </c>
    </row>
    <row r="14" customFormat="false" ht="15" hidden="false" customHeight="false" outlineLevel="0" collapsed="false">
      <c r="A14" s="5"/>
      <c r="B14" s="6" t="s">
        <v>232</v>
      </c>
      <c r="C14" s="43" t="n">
        <f aca="false">SUMPRODUCT((Flip_Analysis!D7:AA7-Flip_Analysis!C7:Z7&lt;0)*1)=0</f>
        <v>1</v>
      </c>
      <c r="D14" s="41" t="str">
        <f aca="false">IF(C14=TRUE(),"PASS","FAIL")</f>
        <v>PASS</v>
      </c>
    </row>
    <row r="15" customFormat="false" ht="15" hidden="false" customHeight="false" outlineLevel="0" collapsed="false">
      <c r="A15" s="5"/>
      <c r="B15" s="6" t="s">
        <v>233</v>
      </c>
      <c r="C15" s="18" t="n">
        <f aca="false">Total_Project_Cost-Eligible_Basis</f>
        <v>3500000</v>
      </c>
      <c r="D15" s="41" t="str">
        <f aca="false">IF(C15&gt;0,"PASS","FAIL")</f>
        <v>PASS</v>
      </c>
    </row>
    <row r="16" customFormat="false" ht="15" hidden="false" customHeight="false" outlineLevel="0" collapsed="false">
      <c r="A16" s="5"/>
      <c r="B16" s="6" t="s">
        <v>234</v>
      </c>
      <c r="C16" s="18" t="n">
        <f aca="false">MIN(Cash_Waterfall!C26:AA26)</f>
        <v>8940330.16</v>
      </c>
      <c r="D16" s="41" t="str">
        <f aca="false">IF(C16&gt;0,"PASS","FAIL")</f>
        <v>PASS</v>
      </c>
    </row>
    <row r="17" customFormat="false" ht="15" hidden="false" customHeight="false" outlineLevel="0" collapsed="false">
      <c r="A17" s="5"/>
      <c r="B17" s="6" t="s">
        <v>235</v>
      </c>
      <c r="C17" s="18" t="n">
        <f aca="false">Flip_Analysis!AA24</f>
        <v>52410006.0270469</v>
      </c>
      <c r="D17" s="41" t="str">
        <f aca="false">IF(C17&gt;TE_Investment,"PASS","FAIL")</f>
        <v>PASS</v>
      </c>
    </row>
  </sheetData>
  <conditionalFormatting sqref="D8:D17">
    <cfRule type="cellIs" priority="2" operator="equal" aboveAverage="0" equalAverage="0" bottom="0" percent="0" rank="0" text="" dxfId="0">
      <formula>"PASS"</formula>
    </cfRule>
    <cfRule type="cellIs" priority="3" operator="equal" aboveAverage="0" equalAverage="0" bottom="0" percent="0" rank="0" text="" dxfId="1">
      <formula>"FAIL"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9D9D9"/>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236</v>
      </c>
    </row>
    <row r="3" customFormat="false" ht="3.75" hidden="false" customHeight="true" outlineLevel="0" collapsed="false">
      <c r="B3" s="45"/>
    </row>
    <row r="5" customFormat="false" ht="19.5" hidden="false" customHeight="true" outlineLevel="0" collapsed="false">
      <c r="B5" s="46" t="s">
        <v>237</v>
      </c>
    </row>
    <row r="6" customFormat="false" ht="48" hidden="false" customHeight="true" outlineLevel="0" collapsed="false">
      <c r="B6" s="47" t="s">
        <v>238</v>
      </c>
    </row>
    <row r="8" customFormat="false" ht="19.5" hidden="false" customHeight="true" outlineLevel="0" collapsed="false">
      <c r="B8" s="46" t="s">
        <v>239</v>
      </c>
    </row>
    <row r="9" customFormat="false" ht="61.5" hidden="false" customHeight="true" outlineLevel="0" collapsed="false">
      <c r="B9" s="47" t="s">
        <v>240</v>
      </c>
    </row>
    <row r="11" customFormat="false" ht="19.5" hidden="false" customHeight="true" outlineLevel="0" collapsed="false">
      <c r="B11" s="46" t="s">
        <v>241</v>
      </c>
    </row>
    <row r="12" customFormat="false" ht="75.75" hidden="false" customHeight="true" outlineLevel="0" collapsed="false">
      <c r="B12" s="47" t="s">
        <v>242</v>
      </c>
    </row>
    <row r="14" customFormat="false" ht="19.5" hidden="false" customHeight="true" outlineLevel="0" collapsed="false">
      <c r="B14" s="46" t="s">
        <v>243</v>
      </c>
    </row>
    <row r="15" customFormat="false" ht="61.5" hidden="false" customHeight="true" outlineLevel="0" collapsed="false">
      <c r="B15" s="47" t="s">
        <v>244</v>
      </c>
    </row>
    <row r="17" customFormat="false" ht="19.5" hidden="false" customHeight="true" outlineLevel="0" collapsed="false">
      <c r="B17" s="46" t="s">
        <v>245</v>
      </c>
    </row>
    <row r="18" customFormat="false" ht="33.75" hidden="false" customHeight="true" outlineLevel="0" collapsed="false">
      <c r="B18" s="47" t="s">
        <v>246</v>
      </c>
    </row>
    <row r="20" customFormat="false" ht="19.5" hidden="false" customHeight="true" outlineLevel="0" collapsed="false">
      <c r="B20" s="46" t="s">
        <v>247</v>
      </c>
    </row>
    <row r="21" customFormat="false" ht="33.75" hidden="false" customHeight="true" outlineLevel="0" collapsed="false">
      <c r="B21" s="47" t="s">
        <v>248</v>
      </c>
    </row>
    <row r="23" customFormat="false" ht="21.75" hidden="false" customHeight="true" outlineLevel="0" collapsed="false">
      <c r="B23" s="48" t="s">
        <v>249</v>
      </c>
    </row>
    <row r="25" customFormat="false" ht="18" hidden="false" customHeight="true" outlineLevel="0" collapsed="false">
      <c r="B25" s="49" t="s">
        <v>250</v>
      </c>
    </row>
    <row r="26" customFormat="false" ht="201.75" hidden="false" customHeight="true" outlineLevel="0" collapsed="false">
      <c r="B26" s="50" t="s">
        <v>251</v>
      </c>
    </row>
    <row r="28" customFormat="false" ht="18" hidden="false" customHeight="true" outlineLevel="0" collapsed="false">
      <c r="B28" s="51" t="s">
        <v>252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EB9C"/>
    <pageSetUpPr fitToPage="false"/>
  </sheetPr>
  <dimension ref="A1:AD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32"/>
    <col collapsed="false" customWidth="true" hidden="false" outlineLevel="0" max="3" min="3" style="0" width="18"/>
    <col collapsed="false" customWidth="true" hidden="false" outlineLevel="0" max="4" min="4" style="0" width="12"/>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row>
    <row r="5" customFormat="false" ht="15" hidden="false" customHeight="false" outlineLevel="0" collapsed="false">
      <c r="A5" s="5"/>
      <c r="B5" s="5"/>
      <c r="C5" s="5"/>
      <c r="D5" s="5"/>
    </row>
    <row r="6" customFormat="false" ht="15" hidden="false" customHeight="false" outlineLevel="0" collapsed="false">
      <c r="A6" s="5"/>
      <c r="B6" s="7" t="s">
        <v>35</v>
      </c>
      <c r="C6" s="5"/>
      <c r="D6" s="5"/>
    </row>
    <row r="7" customFormat="false" ht="15" hidden="false" customHeight="false" outlineLevel="0" collapsed="false">
      <c r="A7" s="5"/>
      <c r="B7" s="6" t="s">
        <v>36</v>
      </c>
      <c r="C7" s="14" t="n">
        <v>100</v>
      </c>
      <c r="D7" s="6" t="s">
        <v>37</v>
      </c>
    </row>
    <row r="8" customFormat="false" ht="15" hidden="false" customHeight="false" outlineLevel="0" collapsed="false">
      <c r="A8" s="5"/>
      <c r="B8" s="6" t="s">
        <v>38</v>
      </c>
      <c r="C8" s="15" t="n">
        <v>0.24</v>
      </c>
      <c r="D8" s="6"/>
    </row>
    <row r="9" customFormat="false" ht="15" hidden="false" customHeight="false" outlineLevel="0" collapsed="false">
      <c r="A9" s="5"/>
      <c r="B9" s="6" t="s">
        <v>39</v>
      </c>
      <c r="C9" s="15" t="n">
        <v>0.005</v>
      </c>
      <c r="D9" s="6" t="s">
        <v>40</v>
      </c>
    </row>
    <row r="10" customFormat="false" ht="15" hidden="false" customHeight="false" outlineLevel="0" collapsed="false">
      <c r="A10" s="5"/>
      <c r="B10" s="6" t="s">
        <v>41</v>
      </c>
      <c r="C10" s="15" t="n">
        <v>0.99</v>
      </c>
      <c r="D10" s="6"/>
    </row>
    <row r="11" customFormat="false" ht="15" hidden="false" customHeight="false" outlineLevel="0" collapsed="false">
      <c r="A11" s="5"/>
      <c r="B11" s="6" t="s">
        <v>42</v>
      </c>
      <c r="C11" s="16" t="n">
        <v>25</v>
      </c>
      <c r="D11" s="6" t="s">
        <v>43</v>
      </c>
    </row>
    <row r="12" customFormat="false" ht="15" hidden="false" customHeight="false" outlineLevel="0" collapsed="false">
      <c r="A12" s="5"/>
      <c r="B12" s="5"/>
      <c r="C12" s="5"/>
      <c r="D12" s="5"/>
    </row>
    <row r="13" customFormat="false" ht="15" hidden="false" customHeight="false" outlineLevel="0" collapsed="false">
      <c r="A13" s="5"/>
      <c r="B13" s="7" t="s">
        <v>44</v>
      </c>
      <c r="C13" s="5"/>
      <c r="D13" s="5"/>
    </row>
    <row r="14" customFormat="false" ht="15" hidden="false" customHeight="false" outlineLevel="0" collapsed="false">
      <c r="A14" s="5"/>
      <c r="B14" s="6" t="s">
        <v>45</v>
      </c>
      <c r="C14" s="14" t="n">
        <v>50</v>
      </c>
      <c r="D14" s="6" t="s">
        <v>46</v>
      </c>
    </row>
    <row r="15" customFormat="false" ht="15" hidden="false" customHeight="false" outlineLevel="0" collapsed="false">
      <c r="A15" s="5"/>
      <c r="B15" s="6" t="s">
        <v>47</v>
      </c>
      <c r="C15" s="15" t="n">
        <v>0.015</v>
      </c>
      <c r="D15" s="6"/>
    </row>
    <row r="16" customFormat="false" ht="15" hidden="false" customHeight="false" outlineLevel="0" collapsed="false">
      <c r="A16" s="5"/>
      <c r="B16" s="6" t="s">
        <v>48</v>
      </c>
      <c r="C16" s="14" t="n">
        <v>5</v>
      </c>
      <c r="D16" s="6" t="s">
        <v>46</v>
      </c>
    </row>
    <row r="17" customFormat="false" ht="15" hidden="false" customHeight="false" outlineLevel="0" collapsed="false">
      <c r="A17" s="5"/>
      <c r="B17" s="5"/>
      <c r="C17" s="5"/>
      <c r="D17" s="5"/>
    </row>
    <row r="18" customFormat="false" ht="15" hidden="false" customHeight="false" outlineLevel="0" collapsed="false">
      <c r="A18" s="5"/>
      <c r="B18" s="7" t="s">
        <v>49</v>
      </c>
      <c r="C18" s="5"/>
      <c r="D18" s="5"/>
    </row>
    <row r="19" customFormat="false" ht="15" hidden="false" customHeight="false" outlineLevel="0" collapsed="false">
      <c r="A19" s="5"/>
      <c r="B19" s="6" t="s">
        <v>50</v>
      </c>
      <c r="C19" s="17" t="n">
        <v>12000</v>
      </c>
      <c r="D19" s="6" t="s">
        <v>51</v>
      </c>
    </row>
    <row r="20" customFormat="false" ht="15" hidden="false" customHeight="false" outlineLevel="0" collapsed="false">
      <c r="A20" s="5"/>
      <c r="B20" s="6" t="s">
        <v>52</v>
      </c>
      <c r="C20" s="17" t="n">
        <v>3500</v>
      </c>
      <c r="D20" s="6" t="s">
        <v>51</v>
      </c>
    </row>
    <row r="21" customFormat="false" ht="15" hidden="false" customHeight="false" outlineLevel="0" collapsed="false">
      <c r="A21" s="5"/>
      <c r="B21" s="6" t="s">
        <v>53</v>
      </c>
      <c r="C21" s="17" t="n">
        <v>5000</v>
      </c>
      <c r="D21" s="6" t="s">
        <v>51</v>
      </c>
    </row>
    <row r="22" customFormat="false" ht="15" hidden="false" customHeight="false" outlineLevel="0" collapsed="false">
      <c r="A22" s="5"/>
      <c r="B22" s="6" t="s">
        <v>54</v>
      </c>
      <c r="C22" s="17" t="n">
        <v>2500</v>
      </c>
      <c r="D22" s="6" t="s">
        <v>51</v>
      </c>
    </row>
    <row r="23" customFormat="false" ht="15" hidden="false" customHeight="false" outlineLevel="0" collapsed="false">
      <c r="A23" s="5"/>
      <c r="B23" s="6" t="s">
        <v>55</v>
      </c>
      <c r="C23" s="15" t="n">
        <v>0.025</v>
      </c>
      <c r="D23" s="6"/>
    </row>
    <row r="24" customFormat="false" ht="15" hidden="false" customHeight="false" outlineLevel="0" collapsed="false">
      <c r="A24" s="5"/>
      <c r="B24" s="6" t="s">
        <v>56</v>
      </c>
      <c r="C24" s="17" t="n">
        <v>1500</v>
      </c>
      <c r="D24" s="6" t="s">
        <v>51</v>
      </c>
    </row>
    <row r="25" customFormat="false" ht="15" hidden="false" customHeight="false" outlineLevel="0" collapsed="false">
      <c r="A25" s="5"/>
      <c r="B25" s="5"/>
      <c r="C25" s="5"/>
      <c r="D25" s="5"/>
    </row>
    <row r="26" customFormat="false" ht="15" hidden="false" customHeight="false" outlineLevel="0" collapsed="false">
      <c r="A26" s="5"/>
      <c r="B26" s="7" t="s">
        <v>57</v>
      </c>
      <c r="C26" s="5"/>
      <c r="D26" s="5"/>
    </row>
    <row r="27" customFormat="false" ht="15" hidden="false" customHeight="false" outlineLevel="0" collapsed="false">
      <c r="A27" s="5"/>
      <c r="B27" s="6" t="s">
        <v>58</v>
      </c>
      <c r="C27" s="17" t="n">
        <v>95000000</v>
      </c>
      <c r="D27" s="6" t="s">
        <v>59</v>
      </c>
    </row>
    <row r="28" customFormat="false" ht="15" hidden="false" customHeight="false" outlineLevel="0" collapsed="false">
      <c r="A28" s="5"/>
      <c r="B28" s="6" t="s">
        <v>60</v>
      </c>
      <c r="C28" s="17" t="n">
        <v>5000000</v>
      </c>
      <c r="D28" s="6" t="s">
        <v>59</v>
      </c>
    </row>
    <row r="29" customFormat="false" ht="15" hidden="false" customHeight="false" outlineLevel="0" collapsed="false">
      <c r="A29" s="5"/>
      <c r="B29" s="6" t="s">
        <v>61</v>
      </c>
      <c r="C29" s="17" t="n">
        <v>2000000</v>
      </c>
      <c r="D29" s="6" t="s">
        <v>59</v>
      </c>
    </row>
    <row r="30" customFormat="false" ht="15" hidden="false" customHeight="false" outlineLevel="0" collapsed="false">
      <c r="A30" s="5"/>
      <c r="B30" s="6" t="s">
        <v>62</v>
      </c>
      <c r="C30" s="17" t="n">
        <v>1500000</v>
      </c>
      <c r="D30" s="6" t="s">
        <v>59</v>
      </c>
    </row>
    <row r="31" customFormat="false" ht="15" hidden="false" customHeight="false" outlineLevel="0" collapsed="false">
      <c r="A31" s="5"/>
      <c r="B31" s="6" t="s">
        <v>63</v>
      </c>
      <c r="C31" s="18" t="n">
        <f aca="false">EPC_Cost+Dev_Cost</f>
        <v>100000000</v>
      </c>
      <c r="D31" s="6" t="s">
        <v>59</v>
      </c>
    </row>
    <row r="32" customFormat="false" ht="15" hidden="false" customHeight="false" outlineLevel="0" collapsed="false">
      <c r="A32" s="5"/>
      <c r="B32" s="6" t="s">
        <v>64</v>
      </c>
      <c r="C32" s="18" t="n">
        <f aca="false">EPC_Cost+Dev_Cost+Reserves+Fin_Fees</f>
        <v>103500000</v>
      </c>
      <c r="D32" s="6" t="s">
        <v>59</v>
      </c>
    </row>
    <row r="33" customFormat="false" ht="15" hidden="false" customHeight="false" outlineLevel="0" collapsed="false">
      <c r="A33" s="5"/>
      <c r="B33" s="5"/>
      <c r="C33" s="5"/>
      <c r="D33" s="5"/>
    </row>
    <row r="34" customFormat="false" ht="15" hidden="false" customHeight="false" outlineLevel="0" collapsed="false">
      <c r="A34" s="5"/>
      <c r="B34" s="7" t="s">
        <v>65</v>
      </c>
      <c r="C34" s="5"/>
      <c r="D34" s="5"/>
    </row>
    <row r="35" customFormat="false" ht="15" hidden="false" customHeight="false" outlineLevel="0" collapsed="false">
      <c r="A35" s="5"/>
      <c r="B35" s="6" t="s">
        <v>66</v>
      </c>
      <c r="C35" s="15" t="n">
        <v>0.5</v>
      </c>
      <c r="D35" s="6"/>
    </row>
    <row r="36" customFormat="false" ht="15" hidden="false" customHeight="false" outlineLevel="0" collapsed="false">
      <c r="A36" s="5"/>
      <c r="B36" s="6" t="s">
        <v>67</v>
      </c>
      <c r="C36" s="18" t="n">
        <f aca="false">Total_Project_Cost*Debt_Pct</f>
        <v>51750000</v>
      </c>
      <c r="D36" s="6" t="s">
        <v>59</v>
      </c>
    </row>
    <row r="37" customFormat="false" ht="15" hidden="false" customHeight="false" outlineLevel="0" collapsed="false">
      <c r="A37" s="5"/>
      <c r="B37" s="6" t="s">
        <v>68</v>
      </c>
      <c r="C37" s="15" t="n">
        <v>0.06</v>
      </c>
      <c r="D37" s="6"/>
    </row>
    <row r="38" customFormat="false" ht="15" hidden="false" customHeight="false" outlineLevel="0" collapsed="false">
      <c r="A38" s="5"/>
      <c r="B38" s="6" t="s">
        <v>69</v>
      </c>
      <c r="C38" s="16" t="n">
        <v>18</v>
      </c>
      <c r="D38" s="6" t="s">
        <v>43</v>
      </c>
    </row>
    <row r="39" customFormat="false" ht="15" hidden="false" customHeight="false" outlineLevel="0" collapsed="false">
      <c r="A39" s="5"/>
      <c r="B39" s="5"/>
      <c r="C39" s="5"/>
      <c r="D39" s="5"/>
    </row>
    <row r="40" customFormat="false" ht="15" hidden="false" customHeight="false" outlineLevel="0" collapsed="false">
      <c r="A40" s="5"/>
      <c r="B40" s="7" t="s">
        <v>70</v>
      </c>
      <c r="C40" s="5"/>
      <c r="D40" s="5"/>
    </row>
    <row r="41" customFormat="false" ht="15" hidden="false" customHeight="false" outlineLevel="0" collapsed="false">
      <c r="A41" s="5"/>
      <c r="B41" s="6" t="s">
        <v>71</v>
      </c>
      <c r="C41" s="15" t="n">
        <v>0.4</v>
      </c>
      <c r="D41" s="6"/>
    </row>
    <row r="42" customFormat="false" ht="15" hidden="false" customHeight="false" outlineLevel="0" collapsed="false">
      <c r="A42" s="5"/>
      <c r="B42" s="6" t="s">
        <v>72</v>
      </c>
      <c r="C42" s="18" t="n">
        <f aca="false">Total_Project_Cost*TE_Pct</f>
        <v>41400000</v>
      </c>
      <c r="D42" s="6" t="s">
        <v>59</v>
      </c>
    </row>
    <row r="43" customFormat="false" ht="15" hidden="false" customHeight="false" outlineLevel="0" collapsed="false">
      <c r="A43" s="5"/>
      <c r="B43" s="6" t="s">
        <v>73</v>
      </c>
      <c r="C43" s="18" t="n">
        <f aca="false">Total_Project_Cost-Debt_Amount-TE_Investment</f>
        <v>10350000</v>
      </c>
      <c r="D43" s="6" t="s">
        <v>59</v>
      </c>
    </row>
    <row r="44" customFormat="false" ht="15" hidden="false" customHeight="false" outlineLevel="0" collapsed="false">
      <c r="A44" s="5"/>
      <c r="B44" s="6" t="s">
        <v>74</v>
      </c>
      <c r="C44" s="15" t="n">
        <v>0.99</v>
      </c>
      <c r="D44" s="6"/>
    </row>
    <row r="45" customFormat="false" ht="15" hidden="false" customHeight="false" outlineLevel="0" collapsed="false">
      <c r="A45" s="5"/>
      <c r="B45" s="6" t="s">
        <v>75</v>
      </c>
      <c r="C45" s="15" t="n">
        <v>0.35</v>
      </c>
      <c r="D45" s="6"/>
    </row>
    <row r="46" customFormat="false" ht="15" hidden="false" customHeight="false" outlineLevel="0" collapsed="false">
      <c r="A46" s="5"/>
      <c r="B46" s="6" t="s">
        <v>76</v>
      </c>
      <c r="C46" s="15" t="n">
        <v>0.05</v>
      </c>
      <c r="D46" s="6"/>
    </row>
    <row r="47" customFormat="false" ht="15" hidden="false" customHeight="false" outlineLevel="0" collapsed="false">
      <c r="A47" s="5"/>
      <c r="B47" s="6" t="s">
        <v>77</v>
      </c>
      <c r="C47" s="15" t="n">
        <v>0.05</v>
      </c>
      <c r="D47" s="6"/>
    </row>
    <row r="48" customFormat="false" ht="15" hidden="false" customHeight="false" outlineLevel="0" collapsed="false">
      <c r="A48" s="5"/>
      <c r="B48" s="6" t="s">
        <v>78</v>
      </c>
      <c r="C48" s="14" t="n">
        <v>1</v>
      </c>
      <c r="D48" s="6" t="s">
        <v>79</v>
      </c>
    </row>
    <row r="49" customFormat="false" ht="15" hidden="false" customHeight="false" outlineLevel="0" collapsed="false">
      <c r="A49" s="5"/>
      <c r="B49" s="6" t="s">
        <v>80</v>
      </c>
      <c r="C49" s="15" t="n">
        <v>0.07</v>
      </c>
      <c r="D49" s="6"/>
    </row>
    <row r="50" customFormat="false" ht="15" hidden="false" customHeight="false" outlineLevel="0" collapsed="false">
      <c r="A50" s="5"/>
      <c r="B50" s="6" t="s">
        <v>81</v>
      </c>
      <c r="C50" s="18" t="n">
        <f aca="false">TE_Investment*TE_Flip_Target_Mult</f>
        <v>41400000</v>
      </c>
      <c r="D50" s="6" t="s">
        <v>59</v>
      </c>
    </row>
    <row r="51" customFormat="false" ht="15" hidden="false" customHeight="false" outlineLevel="0" collapsed="false">
      <c r="A51" s="5"/>
      <c r="B51" s="5"/>
      <c r="C51" s="5"/>
      <c r="D51" s="5"/>
    </row>
    <row r="52" customFormat="false" ht="15" hidden="false" customHeight="false" outlineLevel="0" collapsed="false">
      <c r="A52" s="5"/>
      <c r="B52" s="7" t="s">
        <v>82</v>
      </c>
      <c r="C52" s="5"/>
      <c r="D52" s="5"/>
    </row>
    <row r="53" customFormat="false" ht="15" hidden="false" customHeight="false" outlineLevel="0" collapsed="false">
      <c r="A53" s="5"/>
      <c r="B53" s="6" t="s">
        <v>83</v>
      </c>
      <c r="C53" s="15" t="n">
        <v>0.21</v>
      </c>
      <c r="D53" s="6"/>
    </row>
    <row r="54" customFormat="false" ht="15" hidden="false" customHeight="false" outlineLevel="0" collapsed="false">
      <c r="A54" s="5"/>
      <c r="B54" s="6" t="s">
        <v>84</v>
      </c>
      <c r="C54" s="15" t="n">
        <v>0.05</v>
      </c>
      <c r="D54" s="6"/>
    </row>
    <row r="55" customFormat="false" ht="15" hidden="false" customHeight="false" outlineLevel="0" collapsed="false">
      <c r="A55" s="5"/>
      <c r="B55" s="6" t="s">
        <v>85</v>
      </c>
      <c r="C55" s="19" t="n">
        <f aca="false">Fed_Tax_Rate+State_Tax_Rate</f>
        <v>0.26</v>
      </c>
      <c r="D55" s="6"/>
    </row>
    <row r="56" customFormat="false" ht="15" hidden="false" customHeight="false" outlineLevel="0" collapsed="false">
      <c r="A56" s="5"/>
      <c r="B56" s="6" t="s">
        <v>86</v>
      </c>
      <c r="C56" s="15" t="n">
        <v>0.3</v>
      </c>
      <c r="D56" s="6"/>
    </row>
    <row r="57" customFormat="false" ht="15" hidden="false" customHeight="false" outlineLevel="0" collapsed="false">
      <c r="A57" s="5"/>
      <c r="B57" s="6" t="s">
        <v>87</v>
      </c>
      <c r="C57" s="18" t="n">
        <f aca="false">ITC_Rate*Eligible_Basis</f>
        <v>30000000</v>
      </c>
      <c r="D57" s="6" t="s">
        <v>59</v>
      </c>
    </row>
    <row r="58" customFormat="false" ht="15" hidden="false" customHeight="false" outlineLevel="0" collapsed="false">
      <c r="A58" s="5"/>
      <c r="B58" s="6" t="s">
        <v>88</v>
      </c>
      <c r="C58" s="18" t="n">
        <f aca="false">Eligible_Basis-0.5*ITC_Amount</f>
        <v>85000000</v>
      </c>
      <c r="D58" s="6" t="s">
        <v>59</v>
      </c>
    </row>
    <row r="59" customFormat="false" ht="15" hidden="false" customHeight="false" outlineLevel="0" collapsed="false">
      <c r="A59" s="5"/>
      <c r="B59" s="6" t="s">
        <v>89</v>
      </c>
      <c r="C59" s="15" t="n">
        <v>0.2</v>
      </c>
      <c r="D59" s="6"/>
    </row>
    <row r="60" customFormat="false" ht="15" hidden="false" customHeight="false" outlineLevel="0" collapsed="false">
      <c r="A60" s="5"/>
      <c r="B60" s="6" t="s">
        <v>90</v>
      </c>
      <c r="C60" s="15" t="n">
        <v>0.32</v>
      </c>
      <c r="D60" s="6"/>
    </row>
    <row r="61" customFormat="false" ht="15" hidden="false" customHeight="false" outlineLevel="0" collapsed="false">
      <c r="A61" s="5"/>
      <c r="B61" s="6" t="s">
        <v>91</v>
      </c>
      <c r="C61" s="15" t="n">
        <v>0.192</v>
      </c>
      <c r="D61" s="6"/>
    </row>
    <row r="62" customFormat="false" ht="15" hidden="false" customHeight="false" outlineLevel="0" collapsed="false">
      <c r="A62" s="5"/>
      <c r="B62" s="6" t="s">
        <v>92</v>
      </c>
      <c r="C62" s="15" t="n">
        <v>0.1152</v>
      </c>
      <c r="D62" s="6"/>
    </row>
    <row r="63" customFormat="false" ht="15" hidden="false" customHeight="false" outlineLevel="0" collapsed="false">
      <c r="A63" s="5"/>
      <c r="B63" s="6" t="s">
        <v>93</v>
      </c>
      <c r="C63" s="15" t="n">
        <v>0.1152</v>
      </c>
      <c r="D63" s="6"/>
    </row>
    <row r="64" customFormat="false" ht="15" hidden="false" customHeight="false" outlineLevel="0" collapsed="false">
      <c r="A64" s="5"/>
      <c r="B64" s="6" t="s">
        <v>94</v>
      </c>
      <c r="C64" s="15" t="n">
        <v>0.0576</v>
      </c>
      <c r="D64" s="6"/>
    </row>
    <row r="65" customFormat="false" ht="15" hidden="false" customHeight="false" outlineLevel="0" collapsed="false">
      <c r="A65" s="5"/>
      <c r="B65" s="5"/>
      <c r="C65" s="5"/>
      <c r="D65" s="5"/>
    </row>
    <row r="66" customFormat="false" ht="15" hidden="false" customHeight="false" outlineLevel="0" collapsed="false">
      <c r="A66" s="5"/>
      <c r="B66" s="7" t="s">
        <v>95</v>
      </c>
      <c r="C66" s="5"/>
      <c r="D66" s="5"/>
    </row>
    <row r="67" customFormat="false" ht="15" hidden="false" customHeight="false" outlineLevel="0" collapsed="false">
      <c r="A67" s="5"/>
      <c r="B67" s="6" t="s">
        <v>96</v>
      </c>
      <c r="C67" s="15" t="n">
        <v>0.07</v>
      </c>
      <c r="D67"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EB9C"/>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30"/>
    <col collapsed="false" customWidth="true" hidden="false" outlineLevel="0" max="3" min="3" style="0" width="18"/>
    <col collapsed="false" customWidth="true" hidden="false" outlineLevel="0" max="4" min="4" style="0" width="12"/>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5"/>
      <c r="B4" s="5"/>
      <c r="C4" s="5"/>
      <c r="D4" s="5"/>
    </row>
    <row r="5" customFormat="false" ht="15" hidden="false" customHeight="false" outlineLevel="0" collapsed="false">
      <c r="A5" s="5"/>
      <c r="B5" s="5"/>
      <c r="C5" s="5"/>
      <c r="D5" s="5"/>
    </row>
    <row r="6" customFormat="false" ht="15" hidden="false" customHeight="false" outlineLevel="0" collapsed="false">
      <c r="A6" s="5"/>
      <c r="B6" s="7" t="s">
        <v>97</v>
      </c>
      <c r="C6" s="5"/>
      <c r="D6" s="5"/>
    </row>
    <row r="7" customFormat="false" ht="15" hidden="false" customHeight="false" outlineLevel="0" collapsed="false">
      <c r="A7" s="5"/>
      <c r="B7" s="5"/>
      <c r="C7" s="5"/>
      <c r="D7" s="5"/>
    </row>
    <row r="8" customFormat="false" ht="15" hidden="false" customHeight="false" outlineLevel="0" collapsed="false">
      <c r="A8" s="5"/>
      <c r="B8" s="20" t="s">
        <v>98</v>
      </c>
      <c r="C8" s="5"/>
      <c r="D8" s="5"/>
    </row>
    <row r="9" customFormat="false" ht="15" hidden="false" customHeight="false" outlineLevel="0" collapsed="false">
      <c r="A9" s="5"/>
      <c r="B9" s="6" t="s">
        <v>99</v>
      </c>
      <c r="C9" s="18" t="n">
        <f aca="false">EPC_Cost</f>
        <v>95000000</v>
      </c>
      <c r="D9" s="19" t="n">
        <f aca="false">C9/$C$13</f>
        <v>0.917874396135266</v>
      </c>
    </row>
    <row r="10" customFormat="false" ht="15" hidden="false" customHeight="false" outlineLevel="0" collapsed="false">
      <c r="A10" s="5"/>
      <c r="B10" s="6" t="s">
        <v>100</v>
      </c>
      <c r="C10" s="18" t="n">
        <f aca="false">Dev_Cost</f>
        <v>5000000</v>
      </c>
      <c r="D10" s="19" t="n">
        <f aca="false">C10/$C$13</f>
        <v>0.0483091787439614</v>
      </c>
    </row>
    <row r="11" customFormat="false" ht="15" hidden="false" customHeight="false" outlineLevel="0" collapsed="false">
      <c r="A11" s="5"/>
      <c r="B11" s="6" t="s">
        <v>101</v>
      </c>
      <c r="C11" s="18" t="n">
        <f aca="false">Reserves</f>
        <v>2000000</v>
      </c>
      <c r="D11" s="19" t="n">
        <f aca="false">C11/$C$13</f>
        <v>0.0193236714975845</v>
      </c>
    </row>
    <row r="12" customFormat="false" ht="15" hidden="false" customHeight="false" outlineLevel="0" collapsed="false">
      <c r="A12" s="5"/>
      <c r="B12" s="6" t="s">
        <v>102</v>
      </c>
      <c r="C12" s="18" t="n">
        <f aca="false">Fin_Fees</f>
        <v>1500000</v>
      </c>
      <c r="D12" s="19" t="n">
        <f aca="false">C12/$C$13</f>
        <v>0.0144927536231884</v>
      </c>
    </row>
    <row r="13" customFormat="false" ht="15" hidden="false" customHeight="false" outlineLevel="0" collapsed="false">
      <c r="A13" s="5"/>
      <c r="B13" s="8" t="s">
        <v>103</v>
      </c>
      <c r="C13" s="21" t="n">
        <f aca="false">SUM(C9:C12)</f>
        <v>103500000</v>
      </c>
      <c r="D13" s="22" t="n">
        <f aca="false">1</f>
        <v>1</v>
      </c>
    </row>
    <row r="14" customFormat="false" ht="15" hidden="false" customHeight="false" outlineLevel="0" collapsed="false">
      <c r="A14" s="5"/>
      <c r="B14" s="5"/>
      <c r="C14" s="5"/>
      <c r="D14" s="5"/>
    </row>
    <row r="15" customFormat="false" ht="15" hidden="false" customHeight="false" outlineLevel="0" collapsed="false">
      <c r="A15" s="5"/>
      <c r="B15" s="20" t="s">
        <v>104</v>
      </c>
      <c r="C15" s="5"/>
      <c r="D15" s="5"/>
    </row>
    <row r="16" customFormat="false" ht="15" hidden="false" customHeight="false" outlineLevel="0" collapsed="false">
      <c r="A16" s="5"/>
      <c r="B16" s="6" t="s">
        <v>105</v>
      </c>
      <c r="C16" s="18" t="n">
        <f aca="false">Debt_Amount</f>
        <v>51750000</v>
      </c>
      <c r="D16" s="19" t="n">
        <f aca="false">C16/$C$19</f>
        <v>0.5</v>
      </c>
    </row>
    <row r="17" customFormat="false" ht="15" hidden="false" customHeight="false" outlineLevel="0" collapsed="false">
      <c r="A17" s="5"/>
      <c r="B17" s="6" t="s">
        <v>106</v>
      </c>
      <c r="C17" s="18" t="n">
        <f aca="false">TE_Investment</f>
        <v>41400000</v>
      </c>
      <c r="D17" s="19" t="n">
        <f aca="false">C17/$C$19</f>
        <v>0.4</v>
      </c>
    </row>
    <row r="18" customFormat="false" ht="15" hidden="false" customHeight="false" outlineLevel="0" collapsed="false">
      <c r="A18" s="5"/>
      <c r="B18" s="6" t="s">
        <v>107</v>
      </c>
      <c r="C18" s="18" t="n">
        <f aca="false">Sponsor_Equity</f>
        <v>10350000</v>
      </c>
      <c r="D18" s="19" t="n">
        <f aca="false">C18/$C$19</f>
        <v>0.1</v>
      </c>
    </row>
    <row r="19" customFormat="false" ht="15" hidden="false" customHeight="false" outlineLevel="0" collapsed="false">
      <c r="A19" s="5"/>
      <c r="B19" s="8" t="s">
        <v>108</v>
      </c>
      <c r="C19" s="21" t="n">
        <f aca="false">SUM(C16:C18)</f>
        <v>103500000</v>
      </c>
      <c r="D19" s="22" t="n">
        <f aca="false">1</f>
        <v>1</v>
      </c>
    </row>
    <row r="20" customFormat="false" ht="15" hidden="false" customHeight="false" outlineLevel="0" collapsed="false">
      <c r="A20" s="5"/>
      <c r="B20" s="5"/>
      <c r="C20" s="5"/>
      <c r="D20" s="5"/>
    </row>
    <row r="21" customFormat="false" ht="15" hidden="false" customHeight="false" outlineLevel="0" collapsed="false">
      <c r="A21" s="5"/>
      <c r="B21" s="8" t="s">
        <v>109</v>
      </c>
      <c r="C21" s="23" t="str">
        <f aca="false">IF(ABS(C19-C13)&lt;1,"OK","ERROR")</f>
        <v>OK</v>
      </c>
      <c r="D21" s="5"/>
    </row>
    <row r="22" customFormat="false" ht="15" hidden="false" customHeight="false" outlineLevel="0" collapsed="false">
      <c r="A22" s="5"/>
      <c r="B22" s="5"/>
      <c r="C22" s="5"/>
      <c r="D22" s="5"/>
    </row>
    <row r="23" customFormat="false" ht="15" hidden="false" customHeight="false" outlineLevel="0" collapsed="false">
      <c r="A23" s="5"/>
      <c r="B23" s="7" t="s">
        <v>110</v>
      </c>
      <c r="C23" s="5"/>
      <c r="D23" s="5"/>
    </row>
    <row r="24" customFormat="false" ht="15" hidden="false" customHeight="false" outlineLevel="0" collapsed="false">
      <c r="A24" s="5"/>
      <c r="B24" s="6" t="s">
        <v>111</v>
      </c>
      <c r="C24" s="18" t="n">
        <f aca="false">Eligible_Basis</f>
        <v>100000000</v>
      </c>
      <c r="D24" s="5"/>
    </row>
    <row r="25" customFormat="false" ht="15" hidden="false" customHeight="false" outlineLevel="0" collapsed="false">
      <c r="A25" s="5"/>
      <c r="B25" s="6" t="s">
        <v>112</v>
      </c>
      <c r="C25" s="18" t="n">
        <f aca="false">ITC_Amount</f>
        <v>30000000</v>
      </c>
      <c r="D25" s="5"/>
    </row>
    <row r="26" customFormat="false" ht="15" hidden="false" customHeight="false" outlineLevel="0" collapsed="false">
      <c r="A26" s="5"/>
      <c r="B26" s="6" t="s">
        <v>113</v>
      </c>
      <c r="C26" s="18" t="n">
        <f aca="false">MACRS_Basis</f>
        <v>85000000</v>
      </c>
      <c r="D2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40"/>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115</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6" t="s">
        <v>116</v>
      </c>
      <c r="C7" s="27" t="n">
        <f aca="false">Capacity_MWac*8760*Capacity_Factor</f>
        <v>210240</v>
      </c>
      <c r="D7" s="27" t="n">
        <f aca="false">Capacity_MWac*8760*Capacity_Factor</f>
        <v>210240</v>
      </c>
      <c r="E7" s="27" t="n">
        <f aca="false">Capacity_MWac*8760*Capacity_Factor</f>
        <v>210240</v>
      </c>
      <c r="F7" s="27" t="n">
        <f aca="false">Capacity_MWac*8760*Capacity_Factor</f>
        <v>210240</v>
      </c>
      <c r="G7" s="27" t="n">
        <f aca="false">Capacity_MWac*8760*Capacity_Factor</f>
        <v>210240</v>
      </c>
      <c r="H7" s="27" t="n">
        <f aca="false">Capacity_MWac*8760*Capacity_Factor</f>
        <v>210240</v>
      </c>
      <c r="I7" s="27" t="n">
        <f aca="false">Capacity_MWac*8760*Capacity_Factor</f>
        <v>210240</v>
      </c>
      <c r="J7" s="27" t="n">
        <f aca="false">Capacity_MWac*8760*Capacity_Factor</f>
        <v>210240</v>
      </c>
      <c r="K7" s="27" t="n">
        <f aca="false">Capacity_MWac*8760*Capacity_Factor</f>
        <v>210240</v>
      </c>
      <c r="L7" s="27" t="n">
        <f aca="false">Capacity_MWac*8760*Capacity_Factor</f>
        <v>210240</v>
      </c>
      <c r="M7" s="27" t="n">
        <f aca="false">Capacity_MWac*8760*Capacity_Factor</f>
        <v>210240</v>
      </c>
      <c r="N7" s="27" t="n">
        <f aca="false">Capacity_MWac*8760*Capacity_Factor</f>
        <v>210240</v>
      </c>
      <c r="O7" s="27" t="n">
        <f aca="false">Capacity_MWac*8760*Capacity_Factor</f>
        <v>210240</v>
      </c>
      <c r="P7" s="27" t="n">
        <f aca="false">Capacity_MWac*8760*Capacity_Factor</f>
        <v>210240</v>
      </c>
      <c r="Q7" s="27" t="n">
        <f aca="false">Capacity_MWac*8760*Capacity_Factor</f>
        <v>210240</v>
      </c>
      <c r="R7" s="27" t="n">
        <f aca="false">Capacity_MWac*8760*Capacity_Factor</f>
        <v>210240</v>
      </c>
      <c r="S7" s="27" t="n">
        <f aca="false">Capacity_MWac*8760*Capacity_Factor</f>
        <v>210240</v>
      </c>
      <c r="T7" s="27" t="n">
        <f aca="false">Capacity_MWac*8760*Capacity_Factor</f>
        <v>210240</v>
      </c>
      <c r="U7" s="27" t="n">
        <f aca="false">Capacity_MWac*8760*Capacity_Factor</f>
        <v>210240</v>
      </c>
      <c r="V7" s="27" t="n">
        <f aca="false">Capacity_MWac*8760*Capacity_Factor</f>
        <v>210240</v>
      </c>
      <c r="W7" s="27" t="n">
        <f aca="false">Capacity_MWac*8760*Capacity_Factor</f>
        <v>210240</v>
      </c>
      <c r="X7" s="27" t="n">
        <f aca="false">Capacity_MWac*8760*Capacity_Factor</f>
        <v>210240</v>
      </c>
      <c r="Y7" s="27" t="n">
        <f aca="false">Capacity_MWac*8760*Capacity_Factor</f>
        <v>210240</v>
      </c>
      <c r="Z7" s="27" t="n">
        <f aca="false">Capacity_MWac*8760*Capacity_Factor</f>
        <v>210240</v>
      </c>
      <c r="AA7" s="27" t="n">
        <f aca="false">Capacity_MWac*8760*Capacity_Factor</f>
        <v>210240</v>
      </c>
    </row>
    <row r="8" customFormat="false" ht="15" hidden="false" customHeight="false" outlineLevel="0" collapsed="false">
      <c r="A8" s="5"/>
      <c r="B8" s="26" t="s">
        <v>117</v>
      </c>
      <c r="C8" s="28" t="n">
        <f aca="false">(1-Degradation_Rate)^C4</f>
        <v>0.995</v>
      </c>
      <c r="D8" s="28" t="n">
        <f aca="false">(1-Degradation_Rate)^D4</f>
        <v>0.990025</v>
      </c>
      <c r="E8" s="28" t="n">
        <f aca="false">(1-Degradation_Rate)^E4</f>
        <v>0.985074875</v>
      </c>
      <c r="F8" s="28" t="n">
        <f aca="false">(1-Degradation_Rate)^F4</f>
        <v>0.980149500625</v>
      </c>
      <c r="G8" s="28" t="n">
        <f aca="false">(1-Degradation_Rate)^G4</f>
        <v>0.975248753121875</v>
      </c>
      <c r="H8" s="28" t="n">
        <f aca="false">(1-Degradation_Rate)^H4</f>
        <v>0.970372509356266</v>
      </c>
      <c r="I8" s="28" t="n">
        <f aca="false">(1-Degradation_Rate)^I4</f>
        <v>0.965520646809484</v>
      </c>
      <c r="J8" s="28" t="n">
        <f aca="false">(1-Degradation_Rate)^J4</f>
        <v>0.960693043575437</v>
      </c>
      <c r="K8" s="28" t="n">
        <f aca="false">(1-Degradation_Rate)^K4</f>
        <v>0.95588957835756</v>
      </c>
      <c r="L8" s="28" t="n">
        <f aca="false">(1-Degradation_Rate)^L4</f>
        <v>0.951110130465772</v>
      </c>
      <c r="M8" s="28" t="n">
        <f aca="false">(1-Degradation_Rate)^M4</f>
        <v>0.946354579813443</v>
      </c>
      <c r="N8" s="28" t="n">
        <f aca="false">(1-Degradation_Rate)^N4</f>
        <v>0.941622806914376</v>
      </c>
      <c r="O8" s="28" t="n">
        <f aca="false">(1-Degradation_Rate)^O4</f>
        <v>0.936914692879804</v>
      </c>
      <c r="P8" s="28" t="n">
        <f aca="false">(1-Degradation_Rate)^P4</f>
        <v>0.932230119415405</v>
      </c>
      <c r="Q8" s="28" t="n">
        <f aca="false">(1-Degradation_Rate)^Q4</f>
        <v>0.927568968818328</v>
      </c>
      <c r="R8" s="28" t="n">
        <f aca="false">(1-Degradation_Rate)^R4</f>
        <v>0.922931123974236</v>
      </c>
      <c r="S8" s="28" t="n">
        <f aca="false">(1-Degradation_Rate)^S4</f>
        <v>0.918316468354365</v>
      </c>
      <c r="T8" s="28" t="n">
        <f aca="false">(1-Degradation_Rate)^T4</f>
        <v>0.913724886012593</v>
      </c>
      <c r="U8" s="28" t="n">
        <f aca="false">(1-Degradation_Rate)^U4</f>
        <v>0.90915626158253</v>
      </c>
      <c r="V8" s="28" t="n">
        <f aca="false">(1-Degradation_Rate)^V4</f>
        <v>0.904610480274618</v>
      </c>
      <c r="W8" s="28" t="n">
        <f aca="false">(1-Degradation_Rate)^W4</f>
        <v>0.900087427873245</v>
      </c>
      <c r="X8" s="28" t="n">
        <f aca="false">(1-Degradation_Rate)^X4</f>
        <v>0.895586990733878</v>
      </c>
      <c r="Y8" s="28" t="n">
        <f aca="false">(1-Degradation_Rate)^Y4</f>
        <v>0.891109055780209</v>
      </c>
      <c r="Z8" s="28" t="n">
        <f aca="false">(1-Degradation_Rate)^Z4</f>
        <v>0.886653510501308</v>
      </c>
      <c r="AA8" s="28" t="n">
        <f aca="false">(1-Degradation_Rate)^AA4</f>
        <v>0.882220242948801</v>
      </c>
    </row>
    <row r="9" customFormat="false" ht="15" hidden="false" customHeight="false" outlineLevel="0" collapsed="false">
      <c r="A9" s="5"/>
      <c r="B9" s="26" t="s">
        <v>118</v>
      </c>
      <c r="C9" s="27" t="n">
        <f aca="false">C7*C8</f>
        <v>209188.8</v>
      </c>
      <c r="D9" s="27" t="n">
        <f aca="false">D7*D8</f>
        <v>208142.856</v>
      </c>
      <c r="E9" s="27" t="n">
        <f aca="false">E7*E8</f>
        <v>207102.14172</v>
      </c>
      <c r="F9" s="27" t="n">
        <f aca="false">F7*F8</f>
        <v>206066.6310114</v>
      </c>
      <c r="G9" s="27" t="n">
        <f aca="false">G7*G8</f>
        <v>205036.297856343</v>
      </c>
      <c r="H9" s="27" t="n">
        <f aca="false">H7*H8</f>
        <v>204011.116367061</v>
      </c>
      <c r="I9" s="27" t="n">
        <f aca="false">I7*I8</f>
        <v>202991.060785226</v>
      </c>
      <c r="J9" s="27" t="n">
        <f aca="false">J7*J8</f>
        <v>201976.1054813</v>
      </c>
      <c r="K9" s="27" t="n">
        <f aca="false">K7*K8</f>
        <v>200966.224953893</v>
      </c>
      <c r="L9" s="27" t="n">
        <f aca="false">L7*L8</f>
        <v>199961.393829124</v>
      </c>
      <c r="M9" s="27" t="n">
        <f aca="false">M7*M8</f>
        <v>198961.586859978</v>
      </c>
      <c r="N9" s="27" t="n">
        <f aca="false">N7*N8</f>
        <v>197966.778925678</v>
      </c>
      <c r="O9" s="27" t="n">
        <f aca="false">O7*O8</f>
        <v>196976.94503105</v>
      </c>
      <c r="P9" s="27" t="n">
        <f aca="false">P7*P8</f>
        <v>195992.060305895</v>
      </c>
      <c r="Q9" s="27" t="n">
        <f aca="false">Q7*Q8</f>
        <v>195012.100004365</v>
      </c>
      <c r="R9" s="27" t="n">
        <f aca="false">R7*R8</f>
        <v>194037.039504343</v>
      </c>
      <c r="S9" s="27" t="n">
        <f aca="false">S7*S8</f>
        <v>193066.854306822</v>
      </c>
      <c r="T9" s="27" t="n">
        <f aca="false">T7*T8</f>
        <v>192101.520035288</v>
      </c>
      <c r="U9" s="27" t="n">
        <f aca="false">U7*U8</f>
        <v>191141.012435111</v>
      </c>
      <c r="V9" s="27" t="n">
        <f aca="false">V7*V8</f>
        <v>190185.307372936</v>
      </c>
      <c r="W9" s="27" t="n">
        <f aca="false">W7*W8</f>
        <v>189234.380836071</v>
      </c>
      <c r="X9" s="27" t="n">
        <f aca="false">X7*X8</f>
        <v>188288.208931891</v>
      </c>
      <c r="Y9" s="27" t="n">
        <f aca="false">Y7*Y8</f>
        <v>187346.767887231</v>
      </c>
      <c r="Z9" s="27" t="n">
        <f aca="false">Z7*Z8</f>
        <v>186410.034047795</v>
      </c>
      <c r="AA9" s="27" t="n">
        <f aca="false">AA7*AA8</f>
        <v>185477.983877556</v>
      </c>
    </row>
    <row r="10" customFormat="false" ht="15" hidden="false" customHeight="false" outlineLevel="0" collapsed="false">
      <c r="A10" s="5"/>
      <c r="B10" s="26" t="s">
        <v>119</v>
      </c>
      <c r="C10" s="28" t="n">
        <f aca="false">Availability</f>
        <v>0.99</v>
      </c>
      <c r="D10" s="28" t="n">
        <f aca="false">Availability</f>
        <v>0.99</v>
      </c>
      <c r="E10" s="28" t="n">
        <f aca="false">Availability</f>
        <v>0.99</v>
      </c>
      <c r="F10" s="28" t="n">
        <f aca="false">Availability</f>
        <v>0.99</v>
      </c>
      <c r="G10" s="28" t="n">
        <f aca="false">Availability</f>
        <v>0.99</v>
      </c>
      <c r="H10" s="28" t="n">
        <f aca="false">Availability</f>
        <v>0.99</v>
      </c>
      <c r="I10" s="28" t="n">
        <f aca="false">Availability</f>
        <v>0.99</v>
      </c>
      <c r="J10" s="28" t="n">
        <f aca="false">Availability</f>
        <v>0.99</v>
      </c>
      <c r="K10" s="28" t="n">
        <f aca="false">Availability</f>
        <v>0.99</v>
      </c>
      <c r="L10" s="28" t="n">
        <f aca="false">Availability</f>
        <v>0.99</v>
      </c>
      <c r="M10" s="28" t="n">
        <f aca="false">Availability</f>
        <v>0.99</v>
      </c>
      <c r="N10" s="28" t="n">
        <f aca="false">Availability</f>
        <v>0.99</v>
      </c>
      <c r="O10" s="28" t="n">
        <f aca="false">Availability</f>
        <v>0.99</v>
      </c>
      <c r="P10" s="28" t="n">
        <f aca="false">Availability</f>
        <v>0.99</v>
      </c>
      <c r="Q10" s="28" t="n">
        <f aca="false">Availability</f>
        <v>0.99</v>
      </c>
      <c r="R10" s="28" t="n">
        <f aca="false">Availability</f>
        <v>0.99</v>
      </c>
      <c r="S10" s="28" t="n">
        <f aca="false">Availability</f>
        <v>0.99</v>
      </c>
      <c r="T10" s="28" t="n">
        <f aca="false">Availability</f>
        <v>0.99</v>
      </c>
      <c r="U10" s="28" t="n">
        <f aca="false">Availability</f>
        <v>0.99</v>
      </c>
      <c r="V10" s="28" t="n">
        <f aca="false">Availability</f>
        <v>0.99</v>
      </c>
      <c r="W10" s="28" t="n">
        <f aca="false">Availability</f>
        <v>0.99</v>
      </c>
      <c r="X10" s="28" t="n">
        <f aca="false">Availability</f>
        <v>0.99</v>
      </c>
      <c r="Y10" s="28" t="n">
        <f aca="false">Availability</f>
        <v>0.99</v>
      </c>
      <c r="Z10" s="28" t="n">
        <f aca="false">Availability</f>
        <v>0.99</v>
      </c>
      <c r="AA10" s="28" t="n">
        <f aca="false">Availability</f>
        <v>0.99</v>
      </c>
    </row>
    <row r="11" customFormat="false" ht="15" hidden="false" customHeight="false" outlineLevel="0" collapsed="false">
      <c r="A11" s="5"/>
      <c r="B11" s="29" t="s">
        <v>120</v>
      </c>
      <c r="C11" s="30" t="n">
        <f aca="false">C9*C10</f>
        <v>207096.912</v>
      </c>
      <c r="D11" s="30" t="n">
        <f aca="false">D9*D10</f>
        <v>206061.42744</v>
      </c>
      <c r="E11" s="30" t="n">
        <f aca="false">E9*E10</f>
        <v>205031.1203028</v>
      </c>
      <c r="F11" s="30" t="n">
        <f aca="false">F9*F10</f>
        <v>204005.964701286</v>
      </c>
      <c r="G11" s="30" t="n">
        <f aca="false">G9*G10</f>
        <v>202985.93487778</v>
      </c>
      <c r="H11" s="30" t="n">
        <f aca="false">H9*H10</f>
        <v>201971.005203391</v>
      </c>
      <c r="I11" s="30" t="n">
        <f aca="false">I9*I10</f>
        <v>200961.150177374</v>
      </c>
      <c r="J11" s="30" t="n">
        <f aca="false">J9*J10</f>
        <v>199956.344426487</v>
      </c>
      <c r="K11" s="30" t="n">
        <f aca="false">K9*K10</f>
        <v>198956.562704354</v>
      </c>
      <c r="L11" s="30" t="n">
        <f aca="false">L9*L10</f>
        <v>197961.779890833</v>
      </c>
      <c r="M11" s="30" t="n">
        <f aca="false">M9*M10</f>
        <v>196971.970991378</v>
      </c>
      <c r="N11" s="30" t="n">
        <f aca="false">N9*N10</f>
        <v>195987.111136422</v>
      </c>
      <c r="O11" s="30" t="n">
        <f aca="false">O9*O10</f>
        <v>195007.175580739</v>
      </c>
      <c r="P11" s="30" t="n">
        <f aca="false">P9*P10</f>
        <v>194032.139702836</v>
      </c>
      <c r="Q11" s="30" t="n">
        <f aca="false">Q9*Q10</f>
        <v>193061.979004322</v>
      </c>
      <c r="R11" s="30" t="n">
        <f aca="false">R9*R10</f>
        <v>192096.6691093</v>
      </c>
      <c r="S11" s="30" t="n">
        <f aca="false">S9*S10</f>
        <v>191136.185763753</v>
      </c>
      <c r="T11" s="30" t="n">
        <f aca="false">T9*T10</f>
        <v>190180.504834935</v>
      </c>
      <c r="U11" s="30" t="n">
        <f aca="false">U9*U10</f>
        <v>189229.60231076</v>
      </c>
      <c r="V11" s="30" t="n">
        <f aca="false">V9*V10</f>
        <v>188283.454299206</v>
      </c>
      <c r="W11" s="30" t="n">
        <f aca="false">W9*W10</f>
        <v>187342.03702771</v>
      </c>
      <c r="X11" s="30" t="n">
        <f aca="false">X9*X10</f>
        <v>186405.326842572</v>
      </c>
      <c r="Y11" s="30" t="n">
        <f aca="false">Y9*Y10</f>
        <v>185473.300208359</v>
      </c>
      <c r="Z11" s="30" t="n">
        <f aca="false">Z9*Z10</f>
        <v>184545.933707317</v>
      </c>
      <c r="AA11" s="30" t="n">
        <f aca="false">AA9*AA10</f>
        <v>183623.20403878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38"/>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121</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6" t="s">
        <v>120</v>
      </c>
      <c r="C7" s="27" t="n">
        <f aca="false">Generation!C11</f>
        <v>207096.912</v>
      </c>
      <c r="D7" s="27" t="n">
        <f aca="false">Generation!D11</f>
        <v>206061.42744</v>
      </c>
      <c r="E7" s="27" t="n">
        <f aca="false">Generation!E11</f>
        <v>205031.1203028</v>
      </c>
      <c r="F7" s="27" t="n">
        <f aca="false">Generation!F11</f>
        <v>204005.964701286</v>
      </c>
      <c r="G7" s="27" t="n">
        <f aca="false">Generation!G11</f>
        <v>202985.93487778</v>
      </c>
      <c r="H7" s="27" t="n">
        <f aca="false">Generation!H11</f>
        <v>201971.005203391</v>
      </c>
      <c r="I7" s="27" t="n">
        <f aca="false">Generation!I11</f>
        <v>200961.150177374</v>
      </c>
      <c r="J7" s="27" t="n">
        <f aca="false">Generation!J11</f>
        <v>199956.344426487</v>
      </c>
      <c r="K7" s="27" t="n">
        <f aca="false">Generation!K11</f>
        <v>198956.562704354</v>
      </c>
      <c r="L7" s="27" t="n">
        <f aca="false">Generation!L11</f>
        <v>197961.779890833</v>
      </c>
      <c r="M7" s="27" t="n">
        <f aca="false">Generation!M11</f>
        <v>196971.970991378</v>
      </c>
      <c r="N7" s="27" t="n">
        <f aca="false">Generation!N11</f>
        <v>195987.111136422</v>
      </c>
      <c r="O7" s="27" t="n">
        <f aca="false">Generation!O11</f>
        <v>195007.175580739</v>
      </c>
      <c r="P7" s="27" t="n">
        <f aca="false">Generation!P11</f>
        <v>194032.139702836</v>
      </c>
      <c r="Q7" s="27" t="n">
        <f aca="false">Generation!Q11</f>
        <v>193061.979004322</v>
      </c>
      <c r="R7" s="27" t="n">
        <f aca="false">Generation!R11</f>
        <v>192096.6691093</v>
      </c>
      <c r="S7" s="27" t="n">
        <f aca="false">Generation!S11</f>
        <v>191136.185763753</v>
      </c>
      <c r="T7" s="27" t="n">
        <f aca="false">Generation!T11</f>
        <v>190180.504834935</v>
      </c>
      <c r="U7" s="27" t="n">
        <f aca="false">Generation!U11</f>
        <v>189229.60231076</v>
      </c>
      <c r="V7" s="27" t="n">
        <f aca="false">Generation!V11</f>
        <v>188283.454299206</v>
      </c>
      <c r="W7" s="27" t="n">
        <f aca="false">Generation!W11</f>
        <v>187342.03702771</v>
      </c>
      <c r="X7" s="27" t="n">
        <f aca="false">Generation!X11</f>
        <v>186405.326842572</v>
      </c>
      <c r="Y7" s="27" t="n">
        <f aca="false">Generation!Y11</f>
        <v>185473.300208359</v>
      </c>
      <c r="Z7" s="27" t="n">
        <f aca="false">Generation!Z11</f>
        <v>184545.933707317</v>
      </c>
      <c r="AA7" s="27" t="n">
        <f aca="false">Generation!AA11</f>
        <v>183623.20403878</v>
      </c>
    </row>
    <row r="8" customFormat="false" ht="15" hidden="false" customHeight="false" outlineLevel="0" collapsed="false">
      <c r="A8" s="5"/>
      <c r="B8" s="26" t="s">
        <v>122</v>
      </c>
      <c r="C8" s="31" t="n">
        <f aca="false">PPA_Price_Y1</f>
        <v>50</v>
      </c>
      <c r="D8" s="31" t="n">
        <f aca="false">PPA_Price_Y1*(1+PPA_Escalation)^(D4-1)</f>
        <v>50.75</v>
      </c>
      <c r="E8" s="31" t="n">
        <f aca="false">PPA_Price_Y1*(1+PPA_Escalation)^(E4-1)</f>
        <v>51.51125</v>
      </c>
      <c r="F8" s="31" t="n">
        <f aca="false">PPA_Price_Y1*(1+PPA_Escalation)^(F4-1)</f>
        <v>52.28391875</v>
      </c>
      <c r="G8" s="31" t="n">
        <f aca="false">PPA_Price_Y1*(1+PPA_Escalation)^(G4-1)</f>
        <v>53.06817753125</v>
      </c>
      <c r="H8" s="31" t="n">
        <f aca="false">PPA_Price_Y1*(1+PPA_Escalation)^(H4-1)</f>
        <v>53.8642001942187</v>
      </c>
      <c r="I8" s="31" t="n">
        <f aca="false">PPA_Price_Y1*(1+PPA_Escalation)^(I4-1)</f>
        <v>54.672163197132</v>
      </c>
      <c r="J8" s="31" t="n">
        <f aca="false">PPA_Price_Y1*(1+PPA_Escalation)^(J4-1)</f>
        <v>55.492245645089</v>
      </c>
      <c r="K8" s="31" t="n">
        <f aca="false">PPA_Price_Y1*(1+PPA_Escalation)^(K4-1)</f>
        <v>56.3246293297653</v>
      </c>
      <c r="L8" s="31" t="n">
        <f aca="false">PPA_Price_Y1*(1+PPA_Escalation)^(L4-1)</f>
        <v>57.1694987697118</v>
      </c>
      <c r="M8" s="31" t="n">
        <f aca="false">PPA_Price_Y1*(1+PPA_Escalation)^(M4-1)</f>
        <v>58.0270412512575</v>
      </c>
      <c r="N8" s="31" t="n">
        <f aca="false">PPA_Price_Y1*(1+PPA_Escalation)^(N4-1)</f>
        <v>58.8974468700263</v>
      </c>
      <c r="O8" s="31" t="n">
        <f aca="false">PPA_Price_Y1*(1+PPA_Escalation)^(O4-1)</f>
        <v>59.7809085730767</v>
      </c>
      <c r="P8" s="31" t="n">
        <f aca="false">PPA_Price_Y1*(1+PPA_Escalation)^(P4-1)</f>
        <v>60.6776222016728</v>
      </c>
      <c r="Q8" s="31" t="n">
        <f aca="false">PPA_Price_Y1*(1+PPA_Escalation)^(Q4-1)</f>
        <v>61.5877865346979</v>
      </c>
      <c r="R8" s="31" t="n">
        <f aca="false">PPA_Price_Y1*(1+PPA_Escalation)^(R4-1)</f>
        <v>62.5116033327184</v>
      </c>
      <c r="S8" s="31" t="n">
        <f aca="false">PPA_Price_Y1*(1+PPA_Escalation)^(S4-1)</f>
        <v>63.4492773827092</v>
      </c>
      <c r="T8" s="31" t="n">
        <f aca="false">PPA_Price_Y1*(1+PPA_Escalation)^(T4-1)</f>
        <v>64.4010165434498</v>
      </c>
      <c r="U8" s="31" t="n">
        <f aca="false">PPA_Price_Y1*(1+PPA_Escalation)^(U4-1)</f>
        <v>65.3670317916015</v>
      </c>
      <c r="V8" s="31" t="n">
        <f aca="false">PPA_Price_Y1*(1+PPA_Escalation)^(V4-1)</f>
        <v>66.3475372684756</v>
      </c>
      <c r="W8" s="31" t="n">
        <f aca="false">PPA_Price_Y1*(1+PPA_Escalation)^(W4-1)</f>
        <v>67.3427503275027</v>
      </c>
      <c r="X8" s="31" t="n">
        <f aca="false">PPA_Price_Y1*(1+PPA_Escalation)^(X4-1)</f>
        <v>68.3528915824152</v>
      </c>
      <c r="Y8" s="31" t="n">
        <f aca="false">PPA_Price_Y1*(1+PPA_Escalation)^(Y4-1)</f>
        <v>69.3781849561514</v>
      </c>
      <c r="Z8" s="31" t="n">
        <f aca="false">PPA_Price_Y1*(1+PPA_Escalation)^(Z4-1)</f>
        <v>70.4188577304937</v>
      </c>
      <c r="AA8" s="31" t="n">
        <f aca="false">PPA_Price_Y1*(1+PPA_Escalation)^(AA4-1)</f>
        <v>71.4751405964511</v>
      </c>
    </row>
    <row r="9" customFormat="false" ht="15" hidden="false" customHeight="false" outlineLevel="0" collapsed="false">
      <c r="A9" s="5"/>
      <c r="B9" s="26" t="s">
        <v>123</v>
      </c>
      <c r="C9" s="27" t="n">
        <f aca="false">C7*C8</f>
        <v>10354845.6</v>
      </c>
      <c r="D9" s="27" t="n">
        <f aca="false">D7*D8</f>
        <v>10457617.44258</v>
      </c>
      <c r="E9" s="27" t="n">
        <f aca="false">E7*E8</f>
        <v>10561409.2956976</v>
      </c>
      <c r="F9" s="27" t="n">
        <f aca="false">F7*F8</f>
        <v>10666231.2829574</v>
      </c>
      <c r="G9" s="27" t="n">
        <f aca="false">G7*G8</f>
        <v>10772093.6284408</v>
      </c>
      <c r="H9" s="27" t="n">
        <f aca="false">H7*H8</f>
        <v>10879006.657703</v>
      </c>
      <c r="I9" s="27" t="n">
        <f aca="false">I7*I8</f>
        <v>10986980.7987807</v>
      </c>
      <c r="J9" s="27" t="n">
        <f aca="false">J7*J8</f>
        <v>11096026.5832086</v>
      </c>
      <c r="K9" s="27" t="n">
        <f aca="false">K7*K8</f>
        <v>11206154.647047</v>
      </c>
      <c r="L9" s="27" t="n">
        <f aca="false">L7*L8</f>
        <v>11317375.7319189</v>
      </c>
      <c r="M9" s="27" t="n">
        <f aca="false">M7*M8</f>
        <v>11429700.6860582</v>
      </c>
      <c r="N9" s="27" t="n">
        <f aca="false">N7*N8</f>
        <v>11543140.4653673</v>
      </c>
      <c r="O9" s="27" t="n">
        <f aca="false">O7*O8</f>
        <v>11657706.1344861</v>
      </c>
      <c r="P9" s="27" t="n">
        <f aca="false">P7*P8</f>
        <v>11773408.8678709</v>
      </c>
      <c r="Q9" s="27" t="n">
        <f aca="false">Q7*Q8</f>
        <v>11890259.9508845</v>
      </c>
      <c r="R9" s="27" t="n">
        <f aca="false">R7*R8</f>
        <v>12008270.780897</v>
      </c>
      <c r="S9" s="27" t="n">
        <f aca="false">S7*S8</f>
        <v>12127452.8683974</v>
      </c>
      <c r="T9" s="27" t="n">
        <f aca="false">T7*T8</f>
        <v>12247817.8381163</v>
      </c>
      <c r="U9" s="27" t="n">
        <f aca="false">U7*U8</f>
        <v>12369377.4301596</v>
      </c>
      <c r="V9" s="27" t="n">
        <f aca="false">V7*V8</f>
        <v>12492143.5011539</v>
      </c>
      <c r="W9" s="27" t="n">
        <f aca="false">W7*W8</f>
        <v>12616128.0254029</v>
      </c>
      <c r="X9" s="27" t="n">
        <f aca="false">X7*X8</f>
        <v>12741343.096055</v>
      </c>
      <c r="Y9" s="27" t="n">
        <f aca="false">Y7*Y8</f>
        <v>12867800.9262833</v>
      </c>
      <c r="Z9" s="27" t="n">
        <f aca="false">Z7*Z8</f>
        <v>12995513.8504767</v>
      </c>
      <c r="AA9" s="27" t="n">
        <f aca="false">AA7*AA8</f>
        <v>13124494.3254427</v>
      </c>
    </row>
    <row r="10" customFormat="false" ht="15" hidden="false" customHeight="false" outlineLevel="0" collapsed="false">
      <c r="A10" s="5"/>
      <c r="B10" s="26" t="s">
        <v>48</v>
      </c>
      <c r="C10" s="31" t="n">
        <f aca="false">REC_Price</f>
        <v>5</v>
      </c>
      <c r="D10" s="31" t="n">
        <f aca="false">REC_Price</f>
        <v>5</v>
      </c>
      <c r="E10" s="31" t="n">
        <f aca="false">REC_Price</f>
        <v>5</v>
      </c>
      <c r="F10" s="31" t="n">
        <f aca="false">REC_Price</f>
        <v>5</v>
      </c>
      <c r="G10" s="31" t="n">
        <f aca="false">REC_Price</f>
        <v>5</v>
      </c>
      <c r="H10" s="31" t="n">
        <f aca="false">REC_Price</f>
        <v>5</v>
      </c>
      <c r="I10" s="31" t="n">
        <f aca="false">REC_Price</f>
        <v>5</v>
      </c>
      <c r="J10" s="31" t="n">
        <f aca="false">REC_Price</f>
        <v>5</v>
      </c>
      <c r="K10" s="31" t="n">
        <f aca="false">REC_Price</f>
        <v>5</v>
      </c>
      <c r="L10" s="31" t="n">
        <f aca="false">REC_Price</f>
        <v>5</v>
      </c>
      <c r="M10" s="31" t="n">
        <f aca="false">REC_Price</f>
        <v>5</v>
      </c>
      <c r="N10" s="31" t="n">
        <f aca="false">REC_Price</f>
        <v>5</v>
      </c>
      <c r="O10" s="31" t="n">
        <f aca="false">REC_Price</f>
        <v>5</v>
      </c>
      <c r="P10" s="31" t="n">
        <f aca="false">REC_Price</f>
        <v>5</v>
      </c>
      <c r="Q10" s="31" t="n">
        <f aca="false">REC_Price</f>
        <v>5</v>
      </c>
      <c r="R10" s="31" t="n">
        <f aca="false">REC_Price</f>
        <v>5</v>
      </c>
      <c r="S10" s="31" t="n">
        <f aca="false">REC_Price</f>
        <v>5</v>
      </c>
      <c r="T10" s="31" t="n">
        <f aca="false">REC_Price</f>
        <v>5</v>
      </c>
      <c r="U10" s="31" t="n">
        <f aca="false">REC_Price</f>
        <v>5</v>
      </c>
      <c r="V10" s="31" t="n">
        <f aca="false">REC_Price</f>
        <v>5</v>
      </c>
      <c r="W10" s="31" t="n">
        <f aca="false">REC_Price</f>
        <v>5</v>
      </c>
      <c r="X10" s="31" t="n">
        <f aca="false">REC_Price</f>
        <v>5</v>
      </c>
      <c r="Y10" s="31" t="n">
        <f aca="false">REC_Price</f>
        <v>5</v>
      </c>
      <c r="Z10" s="31" t="n">
        <f aca="false">REC_Price</f>
        <v>5</v>
      </c>
      <c r="AA10" s="31" t="n">
        <f aca="false">REC_Price</f>
        <v>5</v>
      </c>
    </row>
    <row r="11" customFormat="false" ht="15" hidden="false" customHeight="false" outlineLevel="0" collapsed="false">
      <c r="A11" s="5"/>
      <c r="B11" s="26" t="s">
        <v>124</v>
      </c>
      <c r="C11" s="27" t="n">
        <f aca="false">C7*C10</f>
        <v>1035484.56</v>
      </c>
      <c r="D11" s="27" t="n">
        <f aca="false">D7*D10</f>
        <v>1030307.1372</v>
      </c>
      <c r="E11" s="27" t="n">
        <f aca="false">E7*E10</f>
        <v>1025155.601514</v>
      </c>
      <c r="F11" s="27" t="n">
        <f aca="false">F7*F10</f>
        <v>1020029.82350643</v>
      </c>
      <c r="G11" s="27" t="n">
        <f aca="false">G7*G10</f>
        <v>1014929.6743889</v>
      </c>
      <c r="H11" s="27" t="n">
        <f aca="false">H7*H10</f>
        <v>1009855.02601695</v>
      </c>
      <c r="I11" s="27" t="n">
        <f aca="false">I7*I10</f>
        <v>1004805.75088687</v>
      </c>
      <c r="J11" s="27" t="n">
        <f aca="false">J7*J10</f>
        <v>999781.722132434</v>
      </c>
      <c r="K11" s="27" t="n">
        <f aca="false">K7*K10</f>
        <v>994782.813521772</v>
      </c>
      <c r="L11" s="27" t="n">
        <f aca="false">L7*L10</f>
        <v>989808.899454163</v>
      </c>
      <c r="M11" s="27" t="n">
        <f aca="false">M7*M10</f>
        <v>984859.854956892</v>
      </c>
      <c r="N11" s="27" t="n">
        <f aca="false">N7*N10</f>
        <v>979935.555682108</v>
      </c>
      <c r="O11" s="27" t="n">
        <f aca="false">O7*O10</f>
        <v>975035.877903697</v>
      </c>
      <c r="P11" s="27" t="n">
        <f aca="false">P7*P10</f>
        <v>970160.698514179</v>
      </c>
      <c r="Q11" s="27" t="n">
        <f aca="false">Q7*Q10</f>
        <v>965309.895021608</v>
      </c>
      <c r="R11" s="27" t="n">
        <f aca="false">R7*R10</f>
        <v>960483.3455465</v>
      </c>
      <c r="S11" s="27" t="n">
        <f aca="false">S7*S10</f>
        <v>955680.928818767</v>
      </c>
      <c r="T11" s="27" t="n">
        <f aca="false">T7*T10</f>
        <v>950902.524174674</v>
      </c>
      <c r="U11" s="27" t="n">
        <f aca="false">U7*U10</f>
        <v>946148.0115538</v>
      </c>
      <c r="V11" s="27" t="n">
        <f aca="false">V7*V10</f>
        <v>941417.271496031</v>
      </c>
      <c r="W11" s="27" t="n">
        <f aca="false">W7*W10</f>
        <v>936710.185138551</v>
      </c>
      <c r="X11" s="27" t="n">
        <f aca="false">X7*X10</f>
        <v>932026.634212858</v>
      </c>
      <c r="Y11" s="27" t="n">
        <f aca="false">Y7*Y10</f>
        <v>927366.501041794</v>
      </c>
      <c r="Z11" s="27" t="n">
        <f aca="false">Z7*Z10</f>
        <v>922729.668536585</v>
      </c>
      <c r="AA11" s="27" t="n">
        <f aca="false">AA7*AA10</f>
        <v>918116.020193902</v>
      </c>
    </row>
    <row r="12" customFormat="false" ht="15" hidden="false" customHeight="false" outlineLevel="0" collapsed="false">
      <c r="A12" s="5"/>
      <c r="B12" s="29" t="s">
        <v>125</v>
      </c>
      <c r="C12" s="32" t="n">
        <f aca="false">C9+C11</f>
        <v>11390330.16</v>
      </c>
      <c r="D12" s="32" t="n">
        <f aca="false">D9+D11</f>
        <v>11487924.57978</v>
      </c>
      <c r="E12" s="32" t="n">
        <f aca="false">E9+E11</f>
        <v>11586564.8972116</v>
      </c>
      <c r="F12" s="32" t="n">
        <f aca="false">F9+F11</f>
        <v>11686261.1064638</v>
      </c>
      <c r="G12" s="32" t="n">
        <f aca="false">G9+G11</f>
        <v>11787023.3028297</v>
      </c>
      <c r="H12" s="32" t="n">
        <f aca="false">H9+H11</f>
        <v>11888861.68372</v>
      </c>
      <c r="I12" s="32" t="n">
        <f aca="false">I9+I11</f>
        <v>11991786.5496676</v>
      </c>
      <c r="J12" s="32" t="n">
        <f aca="false">J9+J11</f>
        <v>12095808.3053411</v>
      </c>
      <c r="K12" s="32" t="n">
        <f aca="false">K9+K11</f>
        <v>12200937.4605687</v>
      </c>
      <c r="L12" s="32" t="n">
        <f aca="false">L9+L11</f>
        <v>12307184.6313731</v>
      </c>
      <c r="M12" s="32" t="n">
        <f aca="false">M9+M11</f>
        <v>12414560.5410151</v>
      </c>
      <c r="N12" s="32" t="n">
        <f aca="false">N9+N11</f>
        <v>12523076.0210494</v>
      </c>
      <c r="O12" s="32" t="n">
        <f aca="false">O9+O11</f>
        <v>12632742.0123898</v>
      </c>
      <c r="P12" s="32" t="n">
        <f aca="false">P9+P11</f>
        <v>12743569.5663851</v>
      </c>
      <c r="Q12" s="32" t="n">
        <f aca="false">Q9+Q11</f>
        <v>12855569.8459061</v>
      </c>
      <c r="R12" s="32" t="n">
        <f aca="false">R9+R11</f>
        <v>12968754.1264435</v>
      </c>
      <c r="S12" s="32" t="n">
        <f aca="false">S9+S11</f>
        <v>13083133.7972162</v>
      </c>
      <c r="T12" s="32" t="n">
        <f aca="false">T9+T11</f>
        <v>13198720.3622909</v>
      </c>
      <c r="U12" s="32" t="n">
        <f aca="false">U9+U11</f>
        <v>13315525.4417134</v>
      </c>
      <c r="V12" s="32" t="n">
        <f aca="false">V9+V11</f>
        <v>13433560.7726499</v>
      </c>
      <c r="W12" s="32" t="n">
        <f aca="false">W9+W11</f>
        <v>13552838.2105414</v>
      </c>
      <c r="X12" s="32" t="n">
        <f aca="false">X9+X11</f>
        <v>13673369.7302678</v>
      </c>
      <c r="Y12" s="32" t="n">
        <f aca="false">Y9+Y11</f>
        <v>13795167.4273251</v>
      </c>
      <c r="Z12" s="32" t="n">
        <f aca="false">Z9+Z11</f>
        <v>13918243.5190133</v>
      </c>
      <c r="AA12" s="32" t="n">
        <f aca="false">AA9+AA11</f>
        <v>14042610.3456366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42"/>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126</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6" t="s">
        <v>127</v>
      </c>
      <c r="C7" s="27" t="n">
        <f aca="false">-(OM_Per_MW*Capacity_MWac)*(1+OpEx_Inflation)^(C4-1)</f>
        <v>-1200000</v>
      </c>
      <c r="D7" s="27" t="n">
        <f aca="false">-(OM_Per_MW*Capacity_MWac)*(1+OpEx_Inflation)^(D4-1)</f>
        <v>-1230000</v>
      </c>
      <c r="E7" s="27" t="n">
        <f aca="false">-(OM_Per_MW*Capacity_MWac)*(1+OpEx_Inflation)^(E4-1)</f>
        <v>-1260750</v>
      </c>
      <c r="F7" s="27" t="n">
        <f aca="false">-(OM_Per_MW*Capacity_MWac)*(1+OpEx_Inflation)^(F4-1)</f>
        <v>-1292268.75</v>
      </c>
      <c r="G7" s="27" t="n">
        <f aca="false">-(OM_Per_MW*Capacity_MWac)*(1+OpEx_Inflation)^(G4-1)</f>
        <v>-1324575.46875</v>
      </c>
      <c r="H7" s="27" t="n">
        <f aca="false">-(OM_Per_MW*Capacity_MWac)*(1+OpEx_Inflation)^(H4-1)</f>
        <v>-1357689.85546875</v>
      </c>
      <c r="I7" s="27" t="n">
        <f aca="false">-(OM_Per_MW*Capacity_MWac)*(1+OpEx_Inflation)^(I4-1)</f>
        <v>-1391632.10185547</v>
      </c>
      <c r="J7" s="27" t="n">
        <f aca="false">-(OM_Per_MW*Capacity_MWac)*(1+OpEx_Inflation)^(J4-1)</f>
        <v>-1426422.90440185</v>
      </c>
      <c r="K7" s="27" t="n">
        <f aca="false">-(OM_Per_MW*Capacity_MWac)*(1+OpEx_Inflation)^(K4-1)</f>
        <v>-1462083.4770119</v>
      </c>
      <c r="L7" s="27" t="n">
        <f aca="false">-(OM_Per_MW*Capacity_MWac)*(1+OpEx_Inflation)^(L4-1)</f>
        <v>-1498635.5639372</v>
      </c>
      <c r="M7" s="27" t="n">
        <f aca="false">-(OM_Per_MW*Capacity_MWac)*(1+OpEx_Inflation)^(M4-1)</f>
        <v>-1536101.45303563</v>
      </c>
      <c r="N7" s="27" t="n">
        <f aca="false">-(OM_Per_MW*Capacity_MWac)*(1+OpEx_Inflation)^(N4-1)</f>
        <v>-1574503.98936152</v>
      </c>
      <c r="O7" s="27" t="n">
        <f aca="false">-(OM_Per_MW*Capacity_MWac)*(1+OpEx_Inflation)^(O4-1)</f>
        <v>-1613866.58909556</v>
      </c>
      <c r="P7" s="27" t="n">
        <f aca="false">-(OM_Per_MW*Capacity_MWac)*(1+OpEx_Inflation)^(P4-1)</f>
        <v>-1654213.25382295</v>
      </c>
      <c r="Q7" s="27" t="n">
        <f aca="false">-(OM_Per_MW*Capacity_MWac)*(1+OpEx_Inflation)^(Q4-1)</f>
        <v>-1695568.58516852</v>
      </c>
      <c r="R7" s="27" t="n">
        <f aca="false">-(OM_Per_MW*Capacity_MWac)*(1+OpEx_Inflation)^(R4-1)</f>
        <v>-1737957.79979773</v>
      </c>
      <c r="S7" s="27" t="n">
        <f aca="false">-(OM_Per_MW*Capacity_MWac)*(1+OpEx_Inflation)^(S4-1)</f>
        <v>-1781406.74479267</v>
      </c>
      <c r="T7" s="27" t="n">
        <f aca="false">-(OM_Per_MW*Capacity_MWac)*(1+OpEx_Inflation)^(T4-1)</f>
        <v>-1825941.91341249</v>
      </c>
      <c r="U7" s="27" t="n">
        <f aca="false">-(OM_Per_MW*Capacity_MWac)*(1+OpEx_Inflation)^(U4-1)</f>
        <v>-1871590.4612478</v>
      </c>
      <c r="V7" s="27" t="n">
        <f aca="false">-(OM_Per_MW*Capacity_MWac)*(1+OpEx_Inflation)^(V4-1)</f>
        <v>-1918380.222779</v>
      </c>
      <c r="W7" s="27" t="n">
        <f aca="false">-(OM_Per_MW*Capacity_MWac)*(1+OpEx_Inflation)^(W4-1)</f>
        <v>-1966339.72834847</v>
      </c>
      <c r="X7" s="27" t="n">
        <f aca="false">-(OM_Per_MW*Capacity_MWac)*(1+OpEx_Inflation)^(X4-1)</f>
        <v>-2015498.22155719</v>
      </c>
      <c r="Y7" s="27" t="n">
        <f aca="false">-(OM_Per_MW*Capacity_MWac)*(1+OpEx_Inflation)^(Y4-1)</f>
        <v>-2065885.67709611</v>
      </c>
      <c r="Z7" s="27" t="n">
        <f aca="false">-(OM_Per_MW*Capacity_MWac)*(1+OpEx_Inflation)^(Z4-1)</f>
        <v>-2117532.81902352</v>
      </c>
      <c r="AA7" s="27" t="n">
        <f aca="false">-(OM_Per_MW*Capacity_MWac)*(1+OpEx_Inflation)^(AA4-1)</f>
        <v>-2170471.1394991</v>
      </c>
    </row>
    <row r="8" customFormat="false" ht="15" hidden="false" customHeight="false" outlineLevel="0" collapsed="false">
      <c r="A8" s="5"/>
      <c r="B8" s="26" t="s">
        <v>128</v>
      </c>
      <c r="C8" s="27" t="n">
        <f aca="false">-(Insurance_Per_MW*Capacity_MWac)*(1+OpEx_Inflation)^(C4-1)</f>
        <v>-350000</v>
      </c>
      <c r="D8" s="27" t="n">
        <f aca="false">-(Insurance_Per_MW*Capacity_MWac)*(1+OpEx_Inflation)^(D4-1)</f>
        <v>-358750</v>
      </c>
      <c r="E8" s="27" t="n">
        <f aca="false">-(Insurance_Per_MW*Capacity_MWac)*(1+OpEx_Inflation)^(E4-1)</f>
        <v>-367718.75</v>
      </c>
      <c r="F8" s="27" t="n">
        <f aca="false">-(Insurance_Per_MW*Capacity_MWac)*(1+OpEx_Inflation)^(F4-1)</f>
        <v>-376911.71875</v>
      </c>
      <c r="G8" s="27" t="n">
        <f aca="false">-(Insurance_Per_MW*Capacity_MWac)*(1+OpEx_Inflation)^(G4-1)</f>
        <v>-386334.51171875</v>
      </c>
      <c r="H8" s="27" t="n">
        <f aca="false">-(Insurance_Per_MW*Capacity_MWac)*(1+OpEx_Inflation)^(H4-1)</f>
        <v>-395992.874511719</v>
      </c>
      <c r="I8" s="27" t="n">
        <f aca="false">-(Insurance_Per_MW*Capacity_MWac)*(1+OpEx_Inflation)^(I4-1)</f>
        <v>-405892.696374511</v>
      </c>
      <c r="J8" s="27" t="n">
        <f aca="false">-(Insurance_Per_MW*Capacity_MWac)*(1+OpEx_Inflation)^(J4-1)</f>
        <v>-416040.013783874</v>
      </c>
      <c r="K8" s="27" t="n">
        <f aca="false">-(Insurance_Per_MW*Capacity_MWac)*(1+OpEx_Inflation)^(K4-1)</f>
        <v>-426441.014128471</v>
      </c>
      <c r="L8" s="27" t="n">
        <f aca="false">-(Insurance_Per_MW*Capacity_MWac)*(1+OpEx_Inflation)^(L4-1)</f>
        <v>-437102.039481683</v>
      </c>
      <c r="M8" s="27" t="n">
        <f aca="false">-(Insurance_Per_MW*Capacity_MWac)*(1+OpEx_Inflation)^(M4-1)</f>
        <v>-448029.590468725</v>
      </c>
      <c r="N8" s="27" t="n">
        <f aca="false">-(Insurance_Per_MW*Capacity_MWac)*(1+OpEx_Inflation)^(N4-1)</f>
        <v>-459230.330230443</v>
      </c>
      <c r="O8" s="27" t="n">
        <f aca="false">-(Insurance_Per_MW*Capacity_MWac)*(1+OpEx_Inflation)^(O4-1)</f>
        <v>-470711.088486204</v>
      </c>
      <c r="P8" s="27" t="n">
        <f aca="false">-(Insurance_Per_MW*Capacity_MWac)*(1+OpEx_Inflation)^(P4-1)</f>
        <v>-482478.865698359</v>
      </c>
      <c r="Q8" s="27" t="n">
        <f aca="false">-(Insurance_Per_MW*Capacity_MWac)*(1+OpEx_Inflation)^(Q4-1)</f>
        <v>-494540.837340818</v>
      </c>
      <c r="R8" s="27" t="n">
        <f aca="false">-(Insurance_Per_MW*Capacity_MWac)*(1+OpEx_Inflation)^(R4-1)</f>
        <v>-506904.358274338</v>
      </c>
      <c r="S8" s="27" t="n">
        <f aca="false">-(Insurance_Per_MW*Capacity_MWac)*(1+OpEx_Inflation)^(S4-1)</f>
        <v>-519576.967231197</v>
      </c>
      <c r="T8" s="27" t="n">
        <f aca="false">-(Insurance_Per_MW*Capacity_MWac)*(1+OpEx_Inflation)^(T4-1)</f>
        <v>-532566.391411977</v>
      </c>
      <c r="U8" s="27" t="n">
        <f aca="false">-(Insurance_Per_MW*Capacity_MWac)*(1+OpEx_Inflation)^(U4-1)</f>
        <v>-545880.551197276</v>
      </c>
      <c r="V8" s="27" t="n">
        <f aca="false">-(Insurance_Per_MW*Capacity_MWac)*(1+OpEx_Inflation)^(V4-1)</f>
        <v>-559527.564977208</v>
      </c>
      <c r="W8" s="27" t="n">
        <f aca="false">-(Insurance_Per_MW*Capacity_MWac)*(1+OpEx_Inflation)^(W4-1)</f>
        <v>-573515.754101638</v>
      </c>
      <c r="X8" s="27" t="n">
        <f aca="false">-(Insurance_Per_MW*Capacity_MWac)*(1+OpEx_Inflation)^(X4-1)</f>
        <v>-587853.647954179</v>
      </c>
      <c r="Y8" s="27" t="n">
        <f aca="false">-(Insurance_Per_MW*Capacity_MWac)*(1+OpEx_Inflation)^(Y4-1)</f>
        <v>-602549.989153033</v>
      </c>
      <c r="Z8" s="27" t="n">
        <f aca="false">-(Insurance_Per_MW*Capacity_MWac)*(1+OpEx_Inflation)^(Z4-1)</f>
        <v>-617613.738881859</v>
      </c>
      <c r="AA8" s="27" t="n">
        <f aca="false">-(Insurance_Per_MW*Capacity_MWac)*(1+OpEx_Inflation)^(AA4-1)</f>
        <v>-633054.082353906</v>
      </c>
    </row>
    <row r="9" customFormat="false" ht="15" hidden="false" customHeight="false" outlineLevel="0" collapsed="false">
      <c r="A9" s="5"/>
      <c r="B9" s="26" t="s">
        <v>129</v>
      </c>
      <c r="C9" s="27" t="n">
        <f aca="false">-(Land_Lease_Per_MW*Capacity_MWac)*(1+OpEx_Inflation)^(C4-1)</f>
        <v>-500000</v>
      </c>
      <c r="D9" s="27" t="n">
        <f aca="false">-(Land_Lease_Per_MW*Capacity_MWac)*(1+OpEx_Inflation)^(D4-1)</f>
        <v>-512500</v>
      </c>
      <c r="E9" s="27" t="n">
        <f aca="false">-(Land_Lease_Per_MW*Capacity_MWac)*(1+OpEx_Inflation)^(E4-1)</f>
        <v>-525312.5</v>
      </c>
      <c r="F9" s="27" t="n">
        <f aca="false">-(Land_Lease_Per_MW*Capacity_MWac)*(1+OpEx_Inflation)^(F4-1)</f>
        <v>-538445.3125</v>
      </c>
      <c r="G9" s="27" t="n">
        <f aca="false">-(Land_Lease_Per_MW*Capacity_MWac)*(1+OpEx_Inflation)^(G4-1)</f>
        <v>-551906.4453125</v>
      </c>
      <c r="H9" s="27" t="n">
        <f aca="false">-(Land_Lease_Per_MW*Capacity_MWac)*(1+OpEx_Inflation)^(H4-1)</f>
        <v>-565704.106445312</v>
      </c>
      <c r="I9" s="27" t="n">
        <f aca="false">-(Land_Lease_Per_MW*Capacity_MWac)*(1+OpEx_Inflation)^(I4-1)</f>
        <v>-579846.709106445</v>
      </c>
      <c r="J9" s="27" t="n">
        <f aca="false">-(Land_Lease_Per_MW*Capacity_MWac)*(1+OpEx_Inflation)^(J4-1)</f>
        <v>-594342.876834106</v>
      </c>
      <c r="K9" s="27" t="n">
        <f aca="false">-(Land_Lease_Per_MW*Capacity_MWac)*(1+OpEx_Inflation)^(K4-1)</f>
        <v>-609201.448754959</v>
      </c>
      <c r="L9" s="27" t="n">
        <f aca="false">-(Land_Lease_Per_MW*Capacity_MWac)*(1+OpEx_Inflation)^(L4-1)</f>
        <v>-624431.484973833</v>
      </c>
      <c r="M9" s="27" t="n">
        <f aca="false">-(Land_Lease_Per_MW*Capacity_MWac)*(1+OpEx_Inflation)^(M4-1)</f>
        <v>-640042.272098178</v>
      </c>
      <c r="N9" s="27" t="n">
        <f aca="false">-(Land_Lease_Per_MW*Capacity_MWac)*(1+OpEx_Inflation)^(N4-1)</f>
        <v>-656043.328900633</v>
      </c>
      <c r="O9" s="27" t="n">
        <f aca="false">-(Land_Lease_Per_MW*Capacity_MWac)*(1+OpEx_Inflation)^(O4-1)</f>
        <v>-672444.412123149</v>
      </c>
      <c r="P9" s="27" t="n">
        <f aca="false">-(Land_Lease_Per_MW*Capacity_MWac)*(1+OpEx_Inflation)^(P4-1)</f>
        <v>-689255.522426227</v>
      </c>
      <c r="Q9" s="27" t="n">
        <f aca="false">-(Land_Lease_Per_MW*Capacity_MWac)*(1+OpEx_Inflation)^(Q4-1)</f>
        <v>-706486.910486883</v>
      </c>
      <c r="R9" s="27" t="n">
        <f aca="false">-(Land_Lease_Per_MW*Capacity_MWac)*(1+OpEx_Inflation)^(R4-1)</f>
        <v>-724149.083249055</v>
      </c>
      <c r="S9" s="27" t="n">
        <f aca="false">-(Land_Lease_Per_MW*Capacity_MWac)*(1+OpEx_Inflation)^(S4-1)</f>
        <v>-742252.810330281</v>
      </c>
      <c r="T9" s="27" t="n">
        <f aca="false">-(Land_Lease_Per_MW*Capacity_MWac)*(1+OpEx_Inflation)^(T4-1)</f>
        <v>-760809.130588538</v>
      </c>
      <c r="U9" s="27" t="n">
        <f aca="false">-(Land_Lease_Per_MW*Capacity_MWac)*(1+OpEx_Inflation)^(U4-1)</f>
        <v>-779829.358853251</v>
      </c>
      <c r="V9" s="27" t="n">
        <f aca="false">-(Land_Lease_Per_MW*Capacity_MWac)*(1+OpEx_Inflation)^(V4-1)</f>
        <v>-799325.092824583</v>
      </c>
      <c r="W9" s="27" t="n">
        <f aca="false">-(Land_Lease_Per_MW*Capacity_MWac)*(1+OpEx_Inflation)^(W4-1)</f>
        <v>-819308.220145197</v>
      </c>
      <c r="X9" s="27" t="n">
        <f aca="false">-(Land_Lease_Per_MW*Capacity_MWac)*(1+OpEx_Inflation)^(X4-1)</f>
        <v>-839790.925648827</v>
      </c>
      <c r="Y9" s="27" t="n">
        <f aca="false">-(Land_Lease_Per_MW*Capacity_MWac)*(1+OpEx_Inflation)^(Y4-1)</f>
        <v>-860785.698790048</v>
      </c>
      <c r="Z9" s="27" t="n">
        <f aca="false">-(Land_Lease_Per_MW*Capacity_MWac)*(1+OpEx_Inflation)^(Z4-1)</f>
        <v>-882305.341259799</v>
      </c>
      <c r="AA9" s="27" t="n">
        <f aca="false">-(Land_Lease_Per_MW*Capacity_MWac)*(1+OpEx_Inflation)^(AA4-1)</f>
        <v>-904362.974791294</v>
      </c>
    </row>
    <row r="10" customFormat="false" ht="15" hidden="false" customHeight="false" outlineLevel="0" collapsed="false">
      <c r="A10" s="5"/>
      <c r="B10" s="26" t="s">
        <v>130</v>
      </c>
      <c r="C10" s="27" t="n">
        <f aca="false">-(Asset_Mgmt_Per_MW*Capacity_MWac)*(1+OpEx_Inflation)^(C4-1)</f>
        <v>-250000</v>
      </c>
      <c r="D10" s="27" t="n">
        <f aca="false">-(Asset_Mgmt_Per_MW*Capacity_MWac)*(1+OpEx_Inflation)^(D4-1)</f>
        <v>-256250</v>
      </c>
      <c r="E10" s="27" t="n">
        <f aca="false">-(Asset_Mgmt_Per_MW*Capacity_MWac)*(1+OpEx_Inflation)^(E4-1)</f>
        <v>-262656.25</v>
      </c>
      <c r="F10" s="27" t="n">
        <f aca="false">-(Asset_Mgmt_Per_MW*Capacity_MWac)*(1+OpEx_Inflation)^(F4-1)</f>
        <v>-269222.65625</v>
      </c>
      <c r="G10" s="27" t="n">
        <f aca="false">-(Asset_Mgmt_Per_MW*Capacity_MWac)*(1+OpEx_Inflation)^(G4-1)</f>
        <v>-275953.22265625</v>
      </c>
      <c r="H10" s="27" t="n">
        <f aca="false">-(Asset_Mgmt_Per_MW*Capacity_MWac)*(1+OpEx_Inflation)^(H4-1)</f>
        <v>-282852.053222656</v>
      </c>
      <c r="I10" s="27" t="n">
        <f aca="false">-(Asset_Mgmt_Per_MW*Capacity_MWac)*(1+OpEx_Inflation)^(I4-1)</f>
        <v>-289923.354553223</v>
      </c>
      <c r="J10" s="27" t="n">
        <f aca="false">-(Asset_Mgmt_Per_MW*Capacity_MWac)*(1+OpEx_Inflation)^(J4-1)</f>
        <v>-297171.438417053</v>
      </c>
      <c r="K10" s="27" t="n">
        <f aca="false">-(Asset_Mgmt_Per_MW*Capacity_MWac)*(1+OpEx_Inflation)^(K4-1)</f>
        <v>-304600.724377479</v>
      </c>
      <c r="L10" s="27" t="n">
        <f aca="false">-(Asset_Mgmt_Per_MW*Capacity_MWac)*(1+OpEx_Inflation)^(L4-1)</f>
        <v>-312215.742486916</v>
      </c>
      <c r="M10" s="27" t="n">
        <f aca="false">-(Asset_Mgmt_Per_MW*Capacity_MWac)*(1+OpEx_Inflation)^(M4-1)</f>
        <v>-320021.136049089</v>
      </c>
      <c r="N10" s="27" t="n">
        <f aca="false">-(Asset_Mgmt_Per_MW*Capacity_MWac)*(1+OpEx_Inflation)^(N4-1)</f>
        <v>-328021.664450316</v>
      </c>
      <c r="O10" s="27" t="n">
        <f aca="false">-(Asset_Mgmt_Per_MW*Capacity_MWac)*(1+OpEx_Inflation)^(O4-1)</f>
        <v>-336222.206061574</v>
      </c>
      <c r="P10" s="27" t="n">
        <f aca="false">-(Asset_Mgmt_Per_MW*Capacity_MWac)*(1+OpEx_Inflation)^(P4-1)</f>
        <v>-344627.761213114</v>
      </c>
      <c r="Q10" s="27" t="n">
        <f aca="false">-(Asset_Mgmt_Per_MW*Capacity_MWac)*(1+OpEx_Inflation)^(Q4-1)</f>
        <v>-353243.455243441</v>
      </c>
      <c r="R10" s="27" t="n">
        <f aca="false">-(Asset_Mgmt_Per_MW*Capacity_MWac)*(1+OpEx_Inflation)^(R4-1)</f>
        <v>-362074.541624527</v>
      </c>
      <c r="S10" s="27" t="n">
        <f aca="false">-(Asset_Mgmt_Per_MW*Capacity_MWac)*(1+OpEx_Inflation)^(S4-1)</f>
        <v>-371126.405165141</v>
      </c>
      <c r="T10" s="27" t="n">
        <f aca="false">-(Asset_Mgmt_Per_MW*Capacity_MWac)*(1+OpEx_Inflation)^(T4-1)</f>
        <v>-380404.565294269</v>
      </c>
      <c r="U10" s="27" t="n">
        <f aca="false">-(Asset_Mgmt_Per_MW*Capacity_MWac)*(1+OpEx_Inflation)^(U4-1)</f>
        <v>-389914.679426626</v>
      </c>
      <c r="V10" s="27" t="n">
        <f aca="false">-(Asset_Mgmt_Per_MW*Capacity_MWac)*(1+OpEx_Inflation)^(V4-1)</f>
        <v>-399662.546412291</v>
      </c>
      <c r="W10" s="27" t="n">
        <f aca="false">-(Asset_Mgmt_Per_MW*Capacity_MWac)*(1+OpEx_Inflation)^(W4-1)</f>
        <v>-409654.110072599</v>
      </c>
      <c r="X10" s="27" t="n">
        <f aca="false">-(Asset_Mgmt_Per_MW*Capacity_MWac)*(1+OpEx_Inflation)^(X4-1)</f>
        <v>-419895.462824414</v>
      </c>
      <c r="Y10" s="27" t="n">
        <f aca="false">-(Asset_Mgmt_Per_MW*Capacity_MWac)*(1+OpEx_Inflation)^(Y4-1)</f>
        <v>-430392.849395024</v>
      </c>
      <c r="Z10" s="27" t="n">
        <f aca="false">-(Asset_Mgmt_Per_MW*Capacity_MWac)*(1+OpEx_Inflation)^(Z4-1)</f>
        <v>-441152.670629899</v>
      </c>
      <c r="AA10" s="27" t="n">
        <f aca="false">-(Asset_Mgmt_Per_MW*Capacity_MWac)*(1+OpEx_Inflation)^(AA4-1)</f>
        <v>-452181.487395647</v>
      </c>
    </row>
    <row r="11" customFormat="false" ht="15" hidden="false" customHeight="false" outlineLevel="0" collapsed="false">
      <c r="A11" s="5"/>
      <c r="B11" s="29" t="s">
        <v>131</v>
      </c>
      <c r="C11" s="32" t="n">
        <f aca="false">SUM(C7:C10)</f>
        <v>-2300000</v>
      </c>
      <c r="D11" s="32" t="n">
        <f aca="false">SUM(D7:D10)</f>
        <v>-2357500</v>
      </c>
      <c r="E11" s="32" t="n">
        <f aca="false">SUM(E7:E10)</f>
        <v>-2416437.5</v>
      </c>
      <c r="F11" s="32" t="n">
        <f aca="false">SUM(F7:F10)</f>
        <v>-2476848.4375</v>
      </c>
      <c r="G11" s="32" t="n">
        <f aca="false">SUM(G7:G10)</f>
        <v>-2538769.6484375</v>
      </c>
      <c r="H11" s="32" t="n">
        <f aca="false">SUM(H7:H10)</f>
        <v>-2602238.88964844</v>
      </c>
      <c r="I11" s="32" t="n">
        <f aca="false">SUM(I7:I10)</f>
        <v>-2667294.86188965</v>
      </c>
      <c r="J11" s="32" t="n">
        <f aca="false">SUM(J7:J10)</f>
        <v>-2733977.23343689</v>
      </c>
      <c r="K11" s="32" t="n">
        <f aca="false">SUM(K7:K10)</f>
        <v>-2802326.66427281</v>
      </c>
      <c r="L11" s="32" t="n">
        <f aca="false">SUM(L7:L10)</f>
        <v>-2872384.83087963</v>
      </c>
      <c r="M11" s="32" t="n">
        <f aca="false">SUM(M7:M10)</f>
        <v>-2944194.45165162</v>
      </c>
      <c r="N11" s="32" t="n">
        <f aca="false">SUM(N7:N10)</f>
        <v>-3017799.31294291</v>
      </c>
      <c r="O11" s="32" t="n">
        <f aca="false">SUM(O7:O10)</f>
        <v>-3093244.29576648</v>
      </c>
      <c r="P11" s="32" t="n">
        <f aca="false">SUM(P7:P10)</f>
        <v>-3170575.40316064</v>
      </c>
      <c r="Q11" s="32" t="n">
        <f aca="false">SUM(Q7:Q10)</f>
        <v>-3249839.78823966</v>
      </c>
      <c r="R11" s="32" t="n">
        <f aca="false">SUM(R7:R10)</f>
        <v>-3331085.78294565</v>
      </c>
      <c r="S11" s="32" t="n">
        <f aca="false">SUM(S7:S10)</f>
        <v>-3414362.92751929</v>
      </c>
      <c r="T11" s="32" t="n">
        <f aca="false">SUM(T7:T10)</f>
        <v>-3499722.00070728</v>
      </c>
      <c r="U11" s="32" t="n">
        <f aca="false">SUM(U7:U10)</f>
        <v>-3587215.05072496</v>
      </c>
      <c r="V11" s="32" t="n">
        <f aca="false">SUM(V7:V10)</f>
        <v>-3676895.42699308</v>
      </c>
      <c r="W11" s="32" t="n">
        <f aca="false">SUM(W7:W10)</f>
        <v>-3768817.81266791</v>
      </c>
      <c r="X11" s="32" t="n">
        <f aca="false">SUM(X7:X10)</f>
        <v>-3863038.2579846</v>
      </c>
      <c r="Y11" s="32" t="n">
        <f aca="false">SUM(Y7:Y10)</f>
        <v>-3959614.21443422</v>
      </c>
      <c r="Z11" s="32" t="n">
        <f aca="false">SUM(Z7:Z10)</f>
        <v>-4058604.56979507</v>
      </c>
      <c r="AA11" s="32" t="n">
        <f aca="false">SUM(AA7:AA10)</f>
        <v>-4160069.68403995</v>
      </c>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row>
    <row r="13" customFormat="false" ht="15" hidden="false" customHeight="false" outlineLevel="0" collapsed="false">
      <c r="A13" s="5"/>
      <c r="B13" s="7" t="s">
        <v>132</v>
      </c>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26" t="s">
        <v>133</v>
      </c>
      <c r="C14" s="27" t="n">
        <f aca="false">-(Maint_Capex_Per_MW*Capacity_MWac)*(1+OpEx_Inflation)^(C4-1)</f>
        <v>-150000</v>
      </c>
      <c r="D14" s="27" t="n">
        <f aca="false">-(Maint_Capex_Per_MW*Capacity_MWac)*(1+OpEx_Inflation)^(D4-1)</f>
        <v>-153750</v>
      </c>
      <c r="E14" s="27" t="n">
        <f aca="false">-(Maint_Capex_Per_MW*Capacity_MWac)*(1+OpEx_Inflation)^(E4-1)</f>
        <v>-157593.75</v>
      </c>
      <c r="F14" s="27" t="n">
        <f aca="false">-(Maint_Capex_Per_MW*Capacity_MWac)*(1+OpEx_Inflation)^(F4-1)</f>
        <v>-161533.59375</v>
      </c>
      <c r="G14" s="27" t="n">
        <f aca="false">-(Maint_Capex_Per_MW*Capacity_MWac)*(1+OpEx_Inflation)^(G4-1)</f>
        <v>-165571.93359375</v>
      </c>
      <c r="H14" s="27" t="n">
        <f aca="false">-(Maint_Capex_Per_MW*Capacity_MWac)*(1+OpEx_Inflation)^(H4-1)</f>
        <v>-169711.231933594</v>
      </c>
      <c r="I14" s="27" t="n">
        <f aca="false">-(Maint_Capex_Per_MW*Capacity_MWac)*(1+OpEx_Inflation)^(I4-1)</f>
        <v>-173954.012731934</v>
      </c>
      <c r="J14" s="27" t="n">
        <f aca="false">-(Maint_Capex_Per_MW*Capacity_MWac)*(1+OpEx_Inflation)^(J4-1)</f>
        <v>-178302.863050232</v>
      </c>
      <c r="K14" s="27" t="n">
        <f aca="false">-(Maint_Capex_Per_MW*Capacity_MWac)*(1+OpEx_Inflation)^(K4-1)</f>
        <v>-182760.434626488</v>
      </c>
      <c r="L14" s="27" t="n">
        <f aca="false">-(Maint_Capex_Per_MW*Capacity_MWac)*(1+OpEx_Inflation)^(L4-1)</f>
        <v>-187329.44549215</v>
      </c>
      <c r="M14" s="27" t="n">
        <f aca="false">-(Maint_Capex_Per_MW*Capacity_MWac)*(1+OpEx_Inflation)^(M4-1)</f>
        <v>-192012.681629454</v>
      </c>
      <c r="N14" s="27" t="n">
        <f aca="false">-(Maint_Capex_Per_MW*Capacity_MWac)*(1+OpEx_Inflation)^(N4-1)</f>
        <v>-196812.99867019</v>
      </c>
      <c r="O14" s="27" t="n">
        <f aca="false">-(Maint_Capex_Per_MW*Capacity_MWac)*(1+OpEx_Inflation)^(O4-1)</f>
        <v>-201733.323636945</v>
      </c>
      <c r="P14" s="27" t="n">
        <f aca="false">-(Maint_Capex_Per_MW*Capacity_MWac)*(1+OpEx_Inflation)^(P4-1)</f>
        <v>-206776.656727868</v>
      </c>
      <c r="Q14" s="27" t="n">
        <f aca="false">-(Maint_Capex_Per_MW*Capacity_MWac)*(1+OpEx_Inflation)^(Q4-1)</f>
        <v>-211946.073146065</v>
      </c>
      <c r="R14" s="27" t="n">
        <f aca="false">-(Maint_Capex_Per_MW*Capacity_MWac)*(1+OpEx_Inflation)^(R4-1)</f>
        <v>-217244.724974716</v>
      </c>
      <c r="S14" s="27" t="n">
        <f aca="false">-(Maint_Capex_Per_MW*Capacity_MWac)*(1+OpEx_Inflation)^(S4-1)</f>
        <v>-222675.843099084</v>
      </c>
      <c r="T14" s="27" t="n">
        <f aca="false">-(Maint_Capex_Per_MW*Capacity_MWac)*(1+OpEx_Inflation)^(T4-1)</f>
        <v>-228242.739176561</v>
      </c>
      <c r="U14" s="27" t="n">
        <f aca="false">-(Maint_Capex_Per_MW*Capacity_MWac)*(1+OpEx_Inflation)^(U4-1)</f>
        <v>-233948.807655975</v>
      </c>
      <c r="V14" s="27" t="n">
        <f aca="false">-(Maint_Capex_Per_MW*Capacity_MWac)*(1+OpEx_Inflation)^(V4-1)</f>
        <v>-239797.527847375</v>
      </c>
      <c r="W14" s="27" t="n">
        <f aca="false">-(Maint_Capex_Per_MW*Capacity_MWac)*(1+OpEx_Inflation)^(W4-1)</f>
        <v>-245792.466043559</v>
      </c>
      <c r="X14" s="27" t="n">
        <f aca="false">-(Maint_Capex_Per_MW*Capacity_MWac)*(1+OpEx_Inflation)^(X4-1)</f>
        <v>-251937.277694648</v>
      </c>
      <c r="Y14" s="27" t="n">
        <f aca="false">-(Maint_Capex_Per_MW*Capacity_MWac)*(1+OpEx_Inflation)^(Y4-1)</f>
        <v>-258235.709637014</v>
      </c>
      <c r="Z14" s="27" t="n">
        <f aca="false">-(Maint_Capex_Per_MW*Capacity_MWac)*(1+OpEx_Inflation)^(Z4-1)</f>
        <v>-264691.60237794</v>
      </c>
      <c r="AA14" s="27" t="n">
        <f aca="false">-(Maint_Capex_Per_MW*Capacity_MWac)*(1+OpEx_Inflation)^(AA4-1)</f>
        <v>-271308.892437388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38"/>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134</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33" t="s">
        <v>135</v>
      </c>
      <c r="C7" s="27" t="n">
        <f aca="false">Debt_Amount</f>
        <v>51750000</v>
      </c>
      <c r="D7" s="27" t="n">
        <f aca="false">C10</f>
        <v>48875000</v>
      </c>
      <c r="E7" s="27" t="n">
        <f aca="false">D10</f>
        <v>46000000</v>
      </c>
      <c r="F7" s="27" t="n">
        <f aca="false">E10</f>
        <v>43125000</v>
      </c>
      <c r="G7" s="27" t="n">
        <f aca="false">F10</f>
        <v>40250000</v>
      </c>
      <c r="H7" s="27" t="n">
        <f aca="false">G10</f>
        <v>37375000</v>
      </c>
      <c r="I7" s="27" t="n">
        <f aca="false">H10</f>
        <v>34500000</v>
      </c>
      <c r="J7" s="27" t="n">
        <f aca="false">I10</f>
        <v>31625000</v>
      </c>
      <c r="K7" s="27" t="n">
        <f aca="false">J10</f>
        <v>28750000</v>
      </c>
      <c r="L7" s="27" t="n">
        <f aca="false">K10</f>
        <v>25875000</v>
      </c>
      <c r="M7" s="27" t="n">
        <f aca="false">L10</f>
        <v>23000000</v>
      </c>
      <c r="N7" s="27" t="n">
        <f aca="false">M10</f>
        <v>20125000</v>
      </c>
      <c r="O7" s="27" t="n">
        <f aca="false">N10</f>
        <v>17250000</v>
      </c>
      <c r="P7" s="27" t="n">
        <f aca="false">O10</f>
        <v>14375000</v>
      </c>
      <c r="Q7" s="27" t="n">
        <f aca="false">P10</f>
        <v>11500000</v>
      </c>
      <c r="R7" s="27" t="n">
        <f aca="false">Q10</f>
        <v>8625000</v>
      </c>
      <c r="S7" s="27" t="n">
        <f aca="false">R10</f>
        <v>5750000</v>
      </c>
      <c r="T7" s="27" t="n">
        <f aca="false">S10</f>
        <v>2875000</v>
      </c>
      <c r="U7" s="27" t="n">
        <f aca="false">T10</f>
        <v>0</v>
      </c>
      <c r="V7" s="27" t="n">
        <f aca="false">U10</f>
        <v>0</v>
      </c>
      <c r="W7" s="27" t="n">
        <f aca="false">V10</f>
        <v>0</v>
      </c>
      <c r="X7" s="27" t="n">
        <f aca="false">W10</f>
        <v>0</v>
      </c>
      <c r="Y7" s="27" t="n">
        <f aca="false">X10</f>
        <v>0</v>
      </c>
      <c r="Z7" s="27" t="n">
        <f aca="false">Y10</f>
        <v>0</v>
      </c>
      <c r="AA7" s="27" t="n">
        <f aca="false">Z10</f>
        <v>0</v>
      </c>
    </row>
    <row r="8" customFormat="false" ht="15" hidden="false" customHeight="false" outlineLevel="0" collapsed="false">
      <c r="A8" s="5"/>
      <c r="B8" s="26" t="s">
        <v>136</v>
      </c>
      <c r="C8" s="27" t="n">
        <f aca="false">IF(C4&lt;=Debt_Tenor,-(Debt_Amount/Debt_Tenor),0)</f>
        <v>-2875000</v>
      </c>
      <c r="D8" s="27" t="n">
        <f aca="false">IF(D4&lt;=Debt_Tenor,-(Debt_Amount/Debt_Tenor),0)</f>
        <v>-2875000</v>
      </c>
      <c r="E8" s="27" t="n">
        <f aca="false">IF(E4&lt;=Debt_Tenor,-(Debt_Amount/Debt_Tenor),0)</f>
        <v>-2875000</v>
      </c>
      <c r="F8" s="27" t="n">
        <f aca="false">IF(F4&lt;=Debt_Tenor,-(Debt_Amount/Debt_Tenor),0)</f>
        <v>-2875000</v>
      </c>
      <c r="G8" s="27" t="n">
        <f aca="false">IF(G4&lt;=Debt_Tenor,-(Debt_Amount/Debt_Tenor),0)</f>
        <v>-2875000</v>
      </c>
      <c r="H8" s="27" t="n">
        <f aca="false">IF(H4&lt;=Debt_Tenor,-(Debt_Amount/Debt_Tenor),0)</f>
        <v>-2875000</v>
      </c>
      <c r="I8" s="27" t="n">
        <f aca="false">IF(I4&lt;=Debt_Tenor,-(Debt_Amount/Debt_Tenor),0)</f>
        <v>-2875000</v>
      </c>
      <c r="J8" s="27" t="n">
        <f aca="false">IF(J4&lt;=Debt_Tenor,-(Debt_Amount/Debt_Tenor),0)</f>
        <v>-2875000</v>
      </c>
      <c r="K8" s="27" t="n">
        <f aca="false">IF(K4&lt;=Debt_Tenor,-(Debt_Amount/Debt_Tenor),0)</f>
        <v>-2875000</v>
      </c>
      <c r="L8" s="27" t="n">
        <f aca="false">IF(L4&lt;=Debt_Tenor,-(Debt_Amount/Debt_Tenor),0)</f>
        <v>-2875000</v>
      </c>
      <c r="M8" s="27" t="n">
        <f aca="false">IF(M4&lt;=Debt_Tenor,-(Debt_Amount/Debt_Tenor),0)</f>
        <v>-2875000</v>
      </c>
      <c r="N8" s="27" t="n">
        <f aca="false">IF(N4&lt;=Debt_Tenor,-(Debt_Amount/Debt_Tenor),0)</f>
        <v>-2875000</v>
      </c>
      <c r="O8" s="27" t="n">
        <f aca="false">IF(O4&lt;=Debt_Tenor,-(Debt_Amount/Debt_Tenor),0)</f>
        <v>-2875000</v>
      </c>
      <c r="P8" s="27" t="n">
        <f aca="false">IF(P4&lt;=Debt_Tenor,-(Debt_Amount/Debt_Tenor),0)</f>
        <v>-2875000</v>
      </c>
      <c r="Q8" s="27" t="n">
        <f aca="false">IF(Q4&lt;=Debt_Tenor,-(Debt_Amount/Debt_Tenor),0)</f>
        <v>-2875000</v>
      </c>
      <c r="R8" s="27" t="n">
        <f aca="false">IF(R4&lt;=Debt_Tenor,-(Debt_Amount/Debt_Tenor),0)</f>
        <v>-2875000</v>
      </c>
      <c r="S8" s="27" t="n">
        <f aca="false">IF(S4&lt;=Debt_Tenor,-(Debt_Amount/Debt_Tenor),0)</f>
        <v>-2875000</v>
      </c>
      <c r="T8" s="27" t="n">
        <f aca="false">IF(T4&lt;=Debt_Tenor,-(Debt_Amount/Debt_Tenor),0)</f>
        <v>-2875000</v>
      </c>
      <c r="U8" s="27" t="n">
        <f aca="false">IF(U4&lt;=Debt_Tenor,-(Debt_Amount/Debt_Tenor),0)</f>
        <v>0</v>
      </c>
      <c r="V8" s="27" t="n">
        <f aca="false">IF(V4&lt;=Debt_Tenor,-(Debt_Amount/Debt_Tenor),0)</f>
        <v>0</v>
      </c>
      <c r="W8" s="27" t="n">
        <f aca="false">IF(W4&lt;=Debt_Tenor,-(Debt_Amount/Debt_Tenor),0)</f>
        <v>0</v>
      </c>
      <c r="X8" s="27" t="n">
        <f aca="false">IF(X4&lt;=Debt_Tenor,-(Debt_Amount/Debt_Tenor),0)</f>
        <v>0</v>
      </c>
      <c r="Y8" s="27" t="n">
        <f aca="false">IF(Y4&lt;=Debt_Tenor,-(Debt_Amount/Debt_Tenor),0)</f>
        <v>0</v>
      </c>
      <c r="Z8" s="27" t="n">
        <f aca="false">IF(Z4&lt;=Debt_Tenor,-(Debt_Amount/Debt_Tenor),0)</f>
        <v>0</v>
      </c>
      <c r="AA8" s="27" t="n">
        <f aca="false">IF(AA4&lt;=Debt_Tenor,-(Debt_Amount/Debt_Tenor),0)</f>
        <v>0</v>
      </c>
    </row>
    <row r="9" customFormat="false" ht="15" hidden="false" customHeight="false" outlineLevel="0" collapsed="false">
      <c r="A9" s="5"/>
      <c r="B9" s="26" t="s">
        <v>137</v>
      </c>
      <c r="C9" s="27" t="n">
        <f aca="false">IF(C4&lt;=Debt_Tenor,-C7*Interest_Rate,0)</f>
        <v>-3105000</v>
      </c>
      <c r="D9" s="27" t="n">
        <f aca="false">IF(D4&lt;=Debt_Tenor,-D7*Interest_Rate,0)</f>
        <v>-2932500</v>
      </c>
      <c r="E9" s="27" t="n">
        <f aca="false">IF(E4&lt;=Debt_Tenor,-E7*Interest_Rate,0)</f>
        <v>-2760000</v>
      </c>
      <c r="F9" s="27" t="n">
        <f aca="false">IF(F4&lt;=Debt_Tenor,-F7*Interest_Rate,0)</f>
        <v>-2587500</v>
      </c>
      <c r="G9" s="27" t="n">
        <f aca="false">IF(G4&lt;=Debt_Tenor,-G7*Interest_Rate,0)</f>
        <v>-2415000</v>
      </c>
      <c r="H9" s="27" t="n">
        <f aca="false">IF(H4&lt;=Debt_Tenor,-H7*Interest_Rate,0)</f>
        <v>-2242500</v>
      </c>
      <c r="I9" s="27" t="n">
        <f aca="false">IF(I4&lt;=Debt_Tenor,-I7*Interest_Rate,0)</f>
        <v>-2070000</v>
      </c>
      <c r="J9" s="27" t="n">
        <f aca="false">IF(J4&lt;=Debt_Tenor,-J7*Interest_Rate,0)</f>
        <v>-1897500</v>
      </c>
      <c r="K9" s="27" t="n">
        <f aca="false">IF(K4&lt;=Debt_Tenor,-K7*Interest_Rate,0)</f>
        <v>-1725000</v>
      </c>
      <c r="L9" s="27" t="n">
        <f aca="false">IF(L4&lt;=Debt_Tenor,-L7*Interest_Rate,0)</f>
        <v>-1552500</v>
      </c>
      <c r="M9" s="27" t="n">
        <f aca="false">IF(M4&lt;=Debt_Tenor,-M7*Interest_Rate,0)</f>
        <v>-1380000</v>
      </c>
      <c r="N9" s="27" t="n">
        <f aca="false">IF(N4&lt;=Debt_Tenor,-N7*Interest_Rate,0)</f>
        <v>-1207500</v>
      </c>
      <c r="O9" s="27" t="n">
        <f aca="false">IF(O4&lt;=Debt_Tenor,-O7*Interest_Rate,0)</f>
        <v>-1035000</v>
      </c>
      <c r="P9" s="27" t="n">
        <f aca="false">IF(P4&lt;=Debt_Tenor,-P7*Interest_Rate,0)</f>
        <v>-862500</v>
      </c>
      <c r="Q9" s="27" t="n">
        <f aca="false">IF(Q4&lt;=Debt_Tenor,-Q7*Interest_Rate,0)</f>
        <v>-690000</v>
      </c>
      <c r="R9" s="27" t="n">
        <f aca="false">IF(R4&lt;=Debt_Tenor,-R7*Interest_Rate,0)</f>
        <v>-517500</v>
      </c>
      <c r="S9" s="27" t="n">
        <f aca="false">IF(S4&lt;=Debt_Tenor,-S7*Interest_Rate,0)</f>
        <v>-345000</v>
      </c>
      <c r="T9" s="27" t="n">
        <f aca="false">IF(T4&lt;=Debt_Tenor,-T7*Interest_Rate,0)</f>
        <v>-172500</v>
      </c>
      <c r="U9" s="27" t="n">
        <f aca="false">IF(U4&lt;=Debt_Tenor,-U7*Interest_Rate,0)</f>
        <v>0</v>
      </c>
      <c r="V9" s="27" t="n">
        <f aca="false">IF(V4&lt;=Debt_Tenor,-V7*Interest_Rate,0)</f>
        <v>0</v>
      </c>
      <c r="W9" s="27" t="n">
        <f aca="false">IF(W4&lt;=Debt_Tenor,-W7*Interest_Rate,0)</f>
        <v>0</v>
      </c>
      <c r="X9" s="27" t="n">
        <f aca="false">IF(X4&lt;=Debt_Tenor,-X7*Interest_Rate,0)</f>
        <v>0</v>
      </c>
      <c r="Y9" s="27" t="n">
        <f aca="false">IF(Y4&lt;=Debt_Tenor,-Y7*Interest_Rate,0)</f>
        <v>0</v>
      </c>
      <c r="Z9" s="27" t="n">
        <f aca="false">IF(Z4&lt;=Debt_Tenor,-Z7*Interest_Rate,0)</f>
        <v>0</v>
      </c>
      <c r="AA9" s="27" t="n">
        <f aca="false">IF(AA4&lt;=Debt_Tenor,-AA7*Interest_Rate,0)</f>
        <v>0</v>
      </c>
    </row>
    <row r="10" customFormat="false" ht="15" hidden="false" customHeight="false" outlineLevel="0" collapsed="false">
      <c r="A10" s="5"/>
      <c r="B10" s="29" t="s">
        <v>138</v>
      </c>
      <c r="C10" s="30" t="n">
        <f aca="false">C7+C8</f>
        <v>48875000</v>
      </c>
      <c r="D10" s="30" t="n">
        <f aca="false">D7+D8</f>
        <v>46000000</v>
      </c>
      <c r="E10" s="30" t="n">
        <f aca="false">E7+E8</f>
        <v>43125000</v>
      </c>
      <c r="F10" s="30" t="n">
        <f aca="false">F7+F8</f>
        <v>40250000</v>
      </c>
      <c r="G10" s="30" t="n">
        <f aca="false">G7+G8</f>
        <v>37375000</v>
      </c>
      <c r="H10" s="30" t="n">
        <f aca="false">H7+H8</f>
        <v>34500000</v>
      </c>
      <c r="I10" s="30" t="n">
        <f aca="false">I7+I8</f>
        <v>31625000</v>
      </c>
      <c r="J10" s="30" t="n">
        <f aca="false">J7+J8</f>
        <v>28750000</v>
      </c>
      <c r="K10" s="30" t="n">
        <f aca="false">K7+K8</f>
        <v>25875000</v>
      </c>
      <c r="L10" s="30" t="n">
        <f aca="false">L7+L8</f>
        <v>23000000</v>
      </c>
      <c r="M10" s="30" t="n">
        <f aca="false">M7+M8</f>
        <v>20125000</v>
      </c>
      <c r="N10" s="30" t="n">
        <f aca="false">N7+N8</f>
        <v>17250000</v>
      </c>
      <c r="O10" s="30" t="n">
        <f aca="false">O7+O8</f>
        <v>14375000</v>
      </c>
      <c r="P10" s="30" t="n">
        <f aca="false">P7+P8</f>
        <v>11500000</v>
      </c>
      <c r="Q10" s="30" t="n">
        <f aca="false">Q7+Q8</f>
        <v>8625000</v>
      </c>
      <c r="R10" s="30" t="n">
        <f aca="false">R7+R8</f>
        <v>5750000</v>
      </c>
      <c r="S10" s="30" t="n">
        <f aca="false">S7+S8</f>
        <v>2875000</v>
      </c>
      <c r="T10" s="30" t="n">
        <f aca="false">T7+T8</f>
        <v>0</v>
      </c>
      <c r="U10" s="30" t="n">
        <f aca="false">U7+U8</f>
        <v>0</v>
      </c>
      <c r="V10" s="30" t="n">
        <f aca="false">V7+V8</f>
        <v>0</v>
      </c>
      <c r="W10" s="30" t="n">
        <f aca="false">W7+W8</f>
        <v>0</v>
      </c>
      <c r="X10" s="30" t="n">
        <f aca="false">X7+X8</f>
        <v>0</v>
      </c>
      <c r="Y10" s="30" t="n">
        <f aca="false">Y7+Y8</f>
        <v>0</v>
      </c>
      <c r="Z10" s="30" t="n">
        <f aca="false">Z7+Z8</f>
        <v>0</v>
      </c>
      <c r="AA10" s="30" t="n">
        <f aca="false">AA7+AA8</f>
        <v>0</v>
      </c>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row>
    <row r="12" customFormat="false" ht="15" hidden="false" customHeight="false" outlineLevel="0" collapsed="false">
      <c r="A12" s="5"/>
      <c r="B12" s="7" t="s">
        <v>139</v>
      </c>
      <c r="C12" s="5"/>
      <c r="D12" s="5"/>
      <c r="E12" s="5"/>
      <c r="F12" s="5"/>
      <c r="G12" s="5"/>
      <c r="H12" s="5"/>
      <c r="I12" s="5"/>
      <c r="J12" s="5"/>
      <c r="K12" s="5"/>
      <c r="L12" s="5"/>
      <c r="M12" s="5"/>
      <c r="N12" s="5"/>
      <c r="O12" s="5"/>
      <c r="P12" s="5"/>
      <c r="Q12" s="5"/>
      <c r="R12" s="5"/>
      <c r="S12" s="5"/>
      <c r="T12" s="5"/>
      <c r="U12" s="5"/>
      <c r="V12" s="5"/>
      <c r="W12" s="5"/>
      <c r="X12" s="5"/>
      <c r="Y12" s="5"/>
      <c r="Z12" s="5"/>
      <c r="AA12" s="5"/>
    </row>
    <row r="13" customFormat="false" ht="15" hidden="false" customHeight="false" outlineLevel="0" collapsed="false">
      <c r="A13" s="5"/>
      <c r="B13" s="26" t="s">
        <v>140</v>
      </c>
      <c r="C13" s="27" t="n">
        <f aca="false">Cash_Waterfall!C26</f>
        <v>8940330.16</v>
      </c>
      <c r="D13" s="27" t="n">
        <f aca="false">Cash_Waterfall!D26</f>
        <v>8976674.57978</v>
      </c>
      <c r="E13" s="27" t="n">
        <f aca="false">Cash_Waterfall!E26</f>
        <v>9012533.64721161</v>
      </c>
      <c r="F13" s="27" t="n">
        <f aca="false">Cash_Waterfall!F26</f>
        <v>9047879.07521383</v>
      </c>
      <c r="G13" s="27" t="n">
        <f aca="false">Cash_Waterfall!G26</f>
        <v>9082681.7207984</v>
      </c>
      <c r="H13" s="27" t="n">
        <f aca="false">Cash_Waterfall!H26</f>
        <v>9116911.56213795</v>
      </c>
      <c r="I13" s="27" t="n">
        <f aca="false">Cash_Waterfall!I26</f>
        <v>9150537.67504601</v>
      </c>
      <c r="J13" s="27" t="n">
        <f aca="false">Cash_Waterfall!J26</f>
        <v>9183528.20885394</v>
      </c>
      <c r="K13" s="27" t="n">
        <f aca="false">Cash_Waterfall!K26</f>
        <v>9215850.36166945</v>
      </c>
      <c r="L13" s="27" t="n">
        <f aca="false">Cash_Waterfall!L26</f>
        <v>9247470.35500129</v>
      </c>
      <c r="M13" s="27" t="n">
        <f aca="false">Cash_Waterfall!M26</f>
        <v>9278353.40773402</v>
      </c>
      <c r="N13" s="27" t="n">
        <f aca="false">Cash_Waterfall!N26</f>
        <v>9308463.70943634</v>
      </c>
      <c r="O13" s="27" t="n">
        <f aca="false">Cash_Waterfall!O26</f>
        <v>9337764.39298637</v>
      </c>
      <c r="P13" s="27" t="n">
        <f aca="false">Cash_Waterfall!P26</f>
        <v>9366217.50649654</v>
      </c>
      <c r="Q13" s="27" t="n">
        <f aca="false">Cash_Waterfall!Q26</f>
        <v>9393783.98452037</v>
      </c>
      <c r="R13" s="27" t="n">
        <f aca="false">Cash_Waterfall!R26</f>
        <v>9420423.61852315</v>
      </c>
      <c r="S13" s="27" t="n">
        <f aca="false">Cash_Waterfall!S26</f>
        <v>9446095.02659781</v>
      </c>
      <c r="T13" s="27" t="n">
        <f aca="false">Cash_Waterfall!T26</f>
        <v>9470755.6224071</v>
      </c>
      <c r="U13" s="27" t="n">
        <f aca="false">Cash_Waterfall!U26</f>
        <v>9494361.58333243</v>
      </c>
      <c r="V13" s="27" t="n">
        <f aca="false">Cash_Waterfall!V26</f>
        <v>9516867.81780947</v>
      </c>
      <c r="W13" s="27" t="n">
        <f aca="false">Cash_Waterfall!W26</f>
        <v>9538227.93182994</v>
      </c>
      <c r="X13" s="27" t="n">
        <f aca="false">Cash_Waterfall!X26</f>
        <v>9558394.19458858</v>
      </c>
      <c r="Y13" s="27" t="n">
        <f aca="false">Cash_Waterfall!Y26</f>
        <v>9577317.50325388</v>
      </c>
      <c r="Z13" s="27" t="n">
        <f aca="false">Cash_Waterfall!Z26</f>
        <v>9594947.34684025</v>
      </c>
      <c r="AA13" s="27" t="n">
        <f aca="false">Cash_Waterfall!AA26</f>
        <v>9611231.76915922</v>
      </c>
    </row>
    <row r="14" customFormat="false" ht="15" hidden="false" customHeight="false" outlineLevel="0" collapsed="false">
      <c r="A14" s="5"/>
      <c r="B14" s="26" t="s">
        <v>141</v>
      </c>
      <c r="C14" s="27" t="n">
        <f aca="false">C8+C9</f>
        <v>-5980000</v>
      </c>
      <c r="D14" s="27" t="n">
        <f aca="false">D8+D9</f>
        <v>-5807500</v>
      </c>
      <c r="E14" s="27" t="n">
        <f aca="false">E8+E9</f>
        <v>-5635000</v>
      </c>
      <c r="F14" s="27" t="n">
        <f aca="false">F8+F9</f>
        <v>-5462500</v>
      </c>
      <c r="G14" s="27" t="n">
        <f aca="false">G8+G9</f>
        <v>-5290000</v>
      </c>
      <c r="H14" s="27" t="n">
        <f aca="false">H8+H9</f>
        <v>-5117500</v>
      </c>
      <c r="I14" s="27" t="n">
        <f aca="false">I8+I9</f>
        <v>-4945000</v>
      </c>
      <c r="J14" s="27" t="n">
        <f aca="false">J8+J9</f>
        <v>-4772500</v>
      </c>
      <c r="K14" s="27" t="n">
        <f aca="false">K8+K9</f>
        <v>-4600000</v>
      </c>
      <c r="L14" s="27" t="n">
        <f aca="false">L8+L9</f>
        <v>-4427500</v>
      </c>
      <c r="M14" s="27" t="n">
        <f aca="false">M8+M9</f>
        <v>-4255000</v>
      </c>
      <c r="N14" s="27" t="n">
        <f aca="false">N8+N9</f>
        <v>-4082500</v>
      </c>
      <c r="O14" s="27" t="n">
        <f aca="false">O8+O9</f>
        <v>-3910000</v>
      </c>
      <c r="P14" s="27" t="n">
        <f aca="false">P8+P9</f>
        <v>-3737500</v>
      </c>
      <c r="Q14" s="27" t="n">
        <f aca="false">Q8+Q9</f>
        <v>-3565000</v>
      </c>
      <c r="R14" s="27" t="n">
        <f aca="false">R8+R9</f>
        <v>-3392500</v>
      </c>
      <c r="S14" s="27" t="n">
        <f aca="false">S8+S9</f>
        <v>-3220000</v>
      </c>
      <c r="T14" s="27" t="n">
        <f aca="false">T8+T9</f>
        <v>-3047500</v>
      </c>
      <c r="U14" s="27" t="n">
        <f aca="false">U8+U9</f>
        <v>0</v>
      </c>
      <c r="V14" s="27" t="n">
        <f aca="false">V8+V9</f>
        <v>0</v>
      </c>
      <c r="W14" s="27" t="n">
        <f aca="false">W8+W9</f>
        <v>0</v>
      </c>
      <c r="X14" s="27" t="n">
        <f aca="false">X8+X9</f>
        <v>0</v>
      </c>
      <c r="Y14" s="27" t="n">
        <f aca="false">Y8+Y9</f>
        <v>0</v>
      </c>
      <c r="Z14" s="27" t="n">
        <f aca="false">Z8+Z9</f>
        <v>0</v>
      </c>
      <c r="AA14" s="27" t="n">
        <f aca="false">AA8+AA9</f>
        <v>0</v>
      </c>
    </row>
    <row r="15" customFormat="false" ht="15" hidden="false" customHeight="false" outlineLevel="0" collapsed="false">
      <c r="A15" s="5"/>
      <c r="B15" s="26" t="s">
        <v>139</v>
      </c>
      <c r="C15" s="34" t="n">
        <f aca="false">IF(C4&lt;=Debt_Tenor,C13/(-C14),"")</f>
        <v>1.49503848829431</v>
      </c>
      <c r="D15" s="34" t="n">
        <f aca="false">IF(D4&lt;=Debt_Tenor,D13/(-D14),"")</f>
        <v>1.54570375889453</v>
      </c>
      <c r="E15" s="34" t="n">
        <f aca="false">IF(E4&lt;=Debt_Tenor,E13/(-E14),"")</f>
        <v>1.59938485309878</v>
      </c>
      <c r="F15" s="34" t="n">
        <f aca="false">IF(F4&lt;=Debt_Tenor,F13/(-F14),"")</f>
        <v>1.65636230209864</v>
      </c>
      <c r="G15" s="34" t="n">
        <f aca="false">IF(G4&lt;=Debt_Tenor,G13/(-G14),"")</f>
        <v>1.7169530663135</v>
      </c>
      <c r="H15" s="34" t="n">
        <f aca="false">IF(H4&lt;=Debt_Tenor,H13/(-H14),"")</f>
        <v>1.78151667066692</v>
      </c>
      <c r="I15" s="34" t="n">
        <f aca="false">IF(I4&lt;=Debt_Tenor,I13/(-I14),"")</f>
        <v>1.85046262387179</v>
      </c>
      <c r="J15" s="34" t="n">
        <f aca="false">IF(J4&lt;=Debt_Tenor,J13/(-J14),"")</f>
        <v>1.92425944659066</v>
      </c>
      <c r="K15" s="34" t="n">
        <f aca="false">IF(K4&lt;=Debt_Tenor,K13/(-K14),"")</f>
        <v>2.00344573079771</v>
      </c>
      <c r="L15" s="34" t="n">
        <f aca="false">IF(L4&lt;=Debt_Tenor,L13/(-L14),"")</f>
        <v>2.08864378430295</v>
      </c>
      <c r="M15" s="34" t="n">
        <f aca="false">IF(M4&lt;=Debt_Tenor,M13/(-M14),"")</f>
        <v>2.18057659406205</v>
      </c>
      <c r="N15" s="34" t="n">
        <f aca="false">IF(N4&lt;=Debt_Tenor,N13/(-N14),"")</f>
        <v>2.2800890898803</v>
      </c>
      <c r="O15" s="34" t="n">
        <f aca="false">IF(O4&lt;=Debt_Tenor,O13/(-O14),"")</f>
        <v>2.3881750365694</v>
      </c>
      <c r="P15" s="34" t="n">
        <f aca="false">IF(P4&lt;=Debt_Tenor,P13/(-P14),"")</f>
        <v>2.50601137297566</v>
      </c>
      <c r="Q15" s="34" t="n">
        <f aca="false">IF(Q4&lt;=Debt_Tenor,Q13/(-Q14),"")</f>
        <v>2.63500252020207</v>
      </c>
      <c r="R15" s="34" t="n">
        <f aca="false">IF(R4&lt;=Debt_Tenor,R13/(-R14),"")</f>
        <v>2.77683820737602</v>
      </c>
      <c r="S15" s="34" t="n">
        <f aca="false">IF(S4&lt;=Debt_Tenor,S13/(-S14),"")</f>
        <v>2.93356988403659</v>
      </c>
      <c r="T15" s="34" t="n">
        <f aca="false">IF(T4&lt;=Debt_Tenor,T13/(-T14),"")</f>
        <v>3.10771308364466</v>
      </c>
      <c r="U15" s="34" t="str">
        <f aca="false">IF(U4&lt;=Debt_Tenor,U13/(-U14),"")</f>
        <v/>
      </c>
      <c r="V15" s="34" t="str">
        <f aca="false">IF(V4&lt;=Debt_Tenor,V13/(-V14),"")</f>
        <v/>
      </c>
      <c r="W15" s="34" t="str">
        <f aca="false">IF(W4&lt;=Debt_Tenor,W13/(-W14),"")</f>
        <v/>
      </c>
      <c r="X15" s="34" t="str">
        <f aca="false">IF(X4&lt;=Debt_Tenor,X13/(-X14),"")</f>
        <v/>
      </c>
      <c r="Y15" s="34" t="str">
        <f aca="false">IF(Y4&lt;=Debt_Tenor,Y13/(-Y14),"")</f>
        <v/>
      </c>
      <c r="Z15" s="34" t="str">
        <f aca="false">IF(Z4&lt;=Debt_Tenor,Z13/(-Z14),"")</f>
        <v/>
      </c>
      <c r="AA15" s="34" t="str">
        <f aca="false">IF(AA4&lt;=Debt_Tenor,AA13/(-AA14),"")</f>
        <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45"/>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142</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6" t="s">
        <v>143</v>
      </c>
      <c r="C7" s="28" t="n">
        <f aca="false">MACRS_Rate_Y1</f>
        <v>0.2</v>
      </c>
      <c r="D7" s="28" t="n">
        <f aca="false">MACRS_Rate_Y2</f>
        <v>0.32</v>
      </c>
      <c r="E7" s="28" t="n">
        <f aca="false">MACRS_Rate_Y3</f>
        <v>0.192</v>
      </c>
      <c r="F7" s="28" t="n">
        <f aca="false">MACRS_Rate_Y4</f>
        <v>0.1152</v>
      </c>
      <c r="G7" s="28" t="n">
        <f aca="false">MACRS_Rate_Y5</f>
        <v>0.1152</v>
      </c>
      <c r="H7" s="28" t="n">
        <f aca="false">MACRS_Rate_Y6</f>
        <v>0.0576</v>
      </c>
      <c r="I7" s="28" t="n">
        <v>0</v>
      </c>
      <c r="J7" s="28" t="n">
        <v>0</v>
      </c>
      <c r="K7" s="28" t="n">
        <v>0</v>
      </c>
      <c r="L7" s="28" t="n">
        <v>0</v>
      </c>
      <c r="M7" s="28" t="n">
        <v>0</v>
      </c>
      <c r="N7" s="28" t="n">
        <v>0</v>
      </c>
      <c r="O7" s="28" t="n">
        <v>0</v>
      </c>
      <c r="P7" s="28" t="n">
        <v>0</v>
      </c>
      <c r="Q7" s="28" t="n">
        <v>0</v>
      </c>
      <c r="R7" s="28" t="n">
        <v>0</v>
      </c>
      <c r="S7" s="28" t="n">
        <v>0</v>
      </c>
      <c r="T7" s="28" t="n">
        <v>0</v>
      </c>
      <c r="U7" s="28" t="n">
        <v>0</v>
      </c>
      <c r="V7" s="28" t="n">
        <v>0</v>
      </c>
      <c r="W7" s="28" t="n">
        <v>0</v>
      </c>
      <c r="X7" s="28" t="n">
        <v>0</v>
      </c>
      <c r="Y7" s="28" t="n">
        <v>0</v>
      </c>
      <c r="Z7" s="28" t="n">
        <v>0</v>
      </c>
      <c r="AA7" s="28" t="n">
        <v>0</v>
      </c>
    </row>
    <row r="8" customFormat="false" ht="15" hidden="false" customHeight="false" outlineLevel="0" collapsed="false">
      <c r="A8" s="5"/>
      <c r="B8" s="26" t="s">
        <v>144</v>
      </c>
      <c r="C8" s="27" t="n">
        <f aca="false">-MACRS_Basis*C7</f>
        <v>-17000000</v>
      </c>
      <c r="D8" s="27" t="n">
        <f aca="false">-MACRS_Basis*D7</f>
        <v>-27200000</v>
      </c>
      <c r="E8" s="27" t="n">
        <f aca="false">-MACRS_Basis*E7</f>
        <v>-16320000</v>
      </c>
      <c r="F8" s="27" t="n">
        <f aca="false">-MACRS_Basis*F7</f>
        <v>-9792000</v>
      </c>
      <c r="G8" s="27" t="n">
        <f aca="false">-MACRS_Basis*G7</f>
        <v>-9792000</v>
      </c>
      <c r="H8" s="27" t="n">
        <f aca="false">-MACRS_Basis*H7</f>
        <v>-4896000</v>
      </c>
      <c r="I8" s="27" t="n">
        <v>0</v>
      </c>
      <c r="J8" s="27" t="n">
        <v>0</v>
      </c>
      <c r="K8" s="27" t="n">
        <v>0</v>
      </c>
      <c r="L8" s="27" t="n">
        <v>0</v>
      </c>
      <c r="M8" s="27" t="n">
        <v>0</v>
      </c>
      <c r="N8" s="27" t="n">
        <v>0</v>
      </c>
      <c r="O8" s="27" t="n">
        <v>0</v>
      </c>
      <c r="P8" s="27" t="n">
        <v>0</v>
      </c>
      <c r="Q8" s="27" t="n">
        <v>0</v>
      </c>
      <c r="R8" s="27" t="n">
        <v>0</v>
      </c>
      <c r="S8" s="27" t="n">
        <v>0</v>
      </c>
      <c r="T8" s="27" t="n">
        <v>0</v>
      </c>
      <c r="U8" s="27" t="n">
        <v>0</v>
      </c>
      <c r="V8" s="27" t="n">
        <v>0</v>
      </c>
      <c r="W8" s="27" t="n">
        <v>0</v>
      </c>
      <c r="X8" s="27" t="n">
        <v>0</v>
      </c>
      <c r="Y8" s="27" t="n">
        <v>0</v>
      </c>
      <c r="Z8" s="27" t="n">
        <v>0</v>
      </c>
      <c r="AA8" s="27" t="n">
        <v>0</v>
      </c>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row>
    <row r="10" customFormat="false" ht="15" hidden="false" customHeight="false" outlineLevel="0" collapsed="false">
      <c r="A10" s="5"/>
      <c r="B10" s="7" t="s">
        <v>145</v>
      </c>
      <c r="C10" s="5"/>
      <c r="D10" s="5"/>
      <c r="E10" s="5"/>
      <c r="F10" s="5"/>
      <c r="G10" s="5"/>
      <c r="H10" s="5"/>
      <c r="I10" s="5"/>
      <c r="J10" s="5"/>
      <c r="K10" s="5"/>
      <c r="L10" s="5"/>
      <c r="M10" s="5"/>
      <c r="N10" s="5"/>
      <c r="O10" s="5"/>
      <c r="P10" s="5"/>
      <c r="Q10" s="5"/>
      <c r="R10" s="5"/>
      <c r="S10" s="5"/>
      <c r="T10" s="5"/>
      <c r="U10" s="5"/>
      <c r="V10" s="5"/>
      <c r="W10" s="5"/>
      <c r="X10" s="5"/>
      <c r="Y10" s="5"/>
      <c r="Z10" s="5"/>
      <c r="AA10" s="5"/>
    </row>
    <row r="11" customFormat="false" ht="15" hidden="false" customHeight="false" outlineLevel="0" collapsed="false">
      <c r="A11" s="5"/>
      <c r="B11" s="26" t="s">
        <v>146</v>
      </c>
      <c r="C11" s="27" t="n">
        <f aca="false">Revenue!C12</f>
        <v>11390330.16</v>
      </c>
      <c r="D11" s="27" t="n">
        <f aca="false">Revenue!D12</f>
        <v>11487924.57978</v>
      </c>
      <c r="E11" s="27" t="n">
        <f aca="false">Revenue!E12</f>
        <v>11586564.8972116</v>
      </c>
      <c r="F11" s="27" t="n">
        <f aca="false">Revenue!F12</f>
        <v>11686261.1064638</v>
      </c>
      <c r="G11" s="27" t="n">
        <f aca="false">Revenue!G12</f>
        <v>11787023.3028297</v>
      </c>
      <c r="H11" s="27" t="n">
        <f aca="false">Revenue!H12</f>
        <v>11888861.68372</v>
      </c>
      <c r="I11" s="27" t="n">
        <f aca="false">Revenue!I12</f>
        <v>11991786.5496676</v>
      </c>
      <c r="J11" s="27" t="n">
        <f aca="false">Revenue!J12</f>
        <v>12095808.3053411</v>
      </c>
      <c r="K11" s="27" t="n">
        <f aca="false">Revenue!K12</f>
        <v>12200937.4605687</v>
      </c>
      <c r="L11" s="27" t="n">
        <f aca="false">Revenue!L12</f>
        <v>12307184.6313731</v>
      </c>
      <c r="M11" s="27" t="n">
        <f aca="false">Revenue!M12</f>
        <v>12414560.5410151</v>
      </c>
      <c r="N11" s="27" t="n">
        <f aca="false">Revenue!N12</f>
        <v>12523076.0210494</v>
      </c>
      <c r="O11" s="27" t="n">
        <f aca="false">Revenue!O12</f>
        <v>12632742.0123898</v>
      </c>
      <c r="P11" s="27" t="n">
        <f aca="false">Revenue!P12</f>
        <v>12743569.5663851</v>
      </c>
      <c r="Q11" s="27" t="n">
        <f aca="false">Revenue!Q12</f>
        <v>12855569.8459061</v>
      </c>
      <c r="R11" s="27" t="n">
        <f aca="false">Revenue!R12</f>
        <v>12968754.1264435</v>
      </c>
      <c r="S11" s="27" t="n">
        <f aca="false">Revenue!S12</f>
        <v>13083133.7972162</v>
      </c>
      <c r="T11" s="27" t="n">
        <f aca="false">Revenue!T12</f>
        <v>13198720.3622909</v>
      </c>
      <c r="U11" s="27" t="n">
        <f aca="false">Revenue!U12</f>
        <v>13315525.4417134</v>
      </c>
      <c r="V11" s="27" t="n">
        <f aca="false">Revenue!V12</f>
        <v>13433560.7726499</v>
      </c>
      <c r="W11" s="27" t="n">
        <f aca="false">Revenue!W12</f>
        <v>13552838.2105414</v>
      </c>
      <c r="X11" s="27" t="n">
        <f aca="false">Revenue!X12</f>
        <v>13673369.7302678</v>
      </c>
      <c r="Y11" s="27" t="n">
        <f aca="false">Revenue!Y12</f>
        <v>13795167.4273251</v>
      </c>
      <c r="Z11" s="27" t="n">
        <f aca="false">Revenue!Z12</f>
        <v>13918243.5190133</v>
      </c>
      <c r="AA11" s="27" t="n">
        <f aca="false">Revenue!AA12</f>
        <v>14042610.3456366</v>
      </c>
    </row>
    <row r="12" customFormat="false" ht="15" hidden="false" customHeight="false" outlineLevel="0" collapsed="false">
      <c r="A12" s="5"/>
      <c r="B12" s="26" t="s">
        <v>131</v>
      </c>
      <c r="C12" s="27" t="n">
        <f aca="false">OpEx!C11</f>
        <v>-2300000</v>
      </c>
      <c r="D12" s="27" t="n">
        <f aca="false">OpEx!D11</f>
        <v>-2357500</v>
      </c>
      <c r="E12" s="27" t="n">
        <f aca="false">OpEx!E11</f>
        <v>-2416437.5</v>
      </c>
      <c r="F12" s="27" t="n">
        <f aca="false">OpEx!F11</f>
        <v>-2476848.4375</v>
      </c>
      <c r="G12" s="27" t="n">
        <f aca="false">OpEx!G11</f>
        <v>-2538769.6484375</v>
      </c>
      <c r="H12" s="27" t="n">
        <f aca="false">OpEx!H11</f>
        <v>-2602238.88964844</v>
      </c>
      <c r="I12" s="27" t="n">
        <f aca="false">OpEx!I11</f>
        <v>-2667294.86188965</v>
      </c>
      <c r="J12" s="27" t="n">
        <f aca="false">OpEx!J11</f>
        <v>-2733977.23343689</v>
      </c>
      <c r="K12" s="27" t="n">
        <f aca="false">OpEx!K11</f>
        <v>-2802326.66427281</v>
      </c>
      <c r="L12" s="27" t="n">
        <f aca="false">OpEx!L11</f>
        <v>-2872384.83087963</v>
      </c>
      <c r="M12" s="27" t="n">
        <f aca="false">OpEx!M11</f>
        <v>-2944194.45165162</v>
      </c>
      <c r="N12" s="27" t="n">
        <f aca="false">OpEx!N11</f>
        <v>-3017799.31294291</v>
      </c>
      <c r="O12" s="27" t="n">
        <f aca="false">OpEx!O11</f>
        <v>-3093244.29576648</v>
      </c>
      <c r="P12" s="27" t="n">
        <f aca="false">OpEx!P11</f>
        <v>-3170575.40316064</v>
      </c>
      <c r="Q12" s="27" t="n">
        <f aca="false">OpEx!Q11</f>
        <v>-3249839.78823966</v>
      </c>
      <c r="R12" s="27" t="n">
        <f aca="false">OpEx!R11</f>
        <v>-3331085.78294565</v>
      </c>
      <c r="S12" s="27" t="n">
        <f aca="false">OpEx!S11</f>
        <v>-3414362.92751929</v>
      </c>
      <c r="T12" s="27" t="n">
        <f aca="false">OpEx!T11</f>
        <v>-3499722.00070728</v>
      </c>
      <c r="U12" s="27" t="n">
        <f aca="false">OpEx!U11</f>
        <v>-3587215.05072496</v>
      </c>
      <c r="V12" s="27" t="n">
        <f aca="false">OpEx!V11</f>
        <v>-3676895.42699308</v>
      </c>
      <c r="W12" s="27" t="n">
        <f aca="false">OpEx!W11</f>
        <v>-3768817.81266791</v>
      </c>
      <c r="X12" s="27" t="n">
        <f aca="false">OpEx!X11</f>
        <v>-3863038.2579846</v>
      </c>
      <c r="Y12" s="27" t="n">
        <f aca="false">OpEx!Y11</f>
        <v>-3959614.21443422</v>
      </c>
      <c r="Z12" s="27" t="n">
        <f aca="false">OpEx!Z11</f>
        <v>-4058604.56979507</v>
      </c>
      <c r="AA12" s="27" t="n">
        <f aca="false">OpEx!AA11</f>
        <v>-4160069.68403995</v>
      </c>
    </row>
    <row r="13" customFormat="false" ht="15" hidden="false" customHeight="false" outlineLevel="0" collapsed="false">
      <c r="A13" s="5"/>
      <c r="B13" s="26" t="s">
        <v>147</v>
      </c>
      <c r="C13" s="27" t="n">
        <f aca="false">C8</f>
        <v>-17000000</v>
      </c>
      <c r="D13" s="27" t="n">
        <f aca="false">D8</f>
        <v>-27200000</v>
      </c>
      <c r="E13" s="27" t="n">
        <f aca="false">E8</f>
        <v>-16320000</v>
      </c>
      <c r="F13" s="27" t="n">
        <f aca="false">F8</f>
        <v>-9792000</v>
      </c>
      <c r="G13" s="27" t="n">
        <f aca="false">G8</f>
        <v>-9792000</v>
      </c>
      <c r="H13" s="27" t="n">
        <f aca="false">H8</f>
        <v>-4896000</v>
      </c>
      <c r="I13" s="27" t="n">
        <f aca="false">I8</f>
        <v>0</v>
      </c>
      <c r="J13" s="27" t="n">
        <f aca="false">J8</f>
        <v>0</v>
      </c>
      <c r="K13" s="27" t="n">
        <f aca="false">K8</f>
        <v>0</v>
      </c>
      <c r="L13" s="27" t="n">
        <f aca="false">L8</f>
        <v>0</v>
      </c>
      <c r="M13" s="27" t="n">
        <f aca="false">M8</f>
        <v>0</v>
      </c>
      <c r="N13" s="27" t="n">
        <f aca="false">N8</f>
        <v>0</v>
      </c>
      <c r="O13" s="27" t="n">
        <f aca="false">O8</f>
        <v>0</v>
      </c>
      <c r="P13" s="27" t="n">
        <f aca="false">P8</f>
        <v>0</v>
      </c>
      <c r="Q13" s="27" t="n">
        <f aca="false">Q8</f>
        <v>0</v>
      </c>
      <c r="R13" s="27" t="n">
        <f aca="false">R8</f>
        <v>0</v>
      </c>
      <c r="S13" s="27" t="n">
        <f aca="false">S8</f>
        <v>0</v>
      </c>
      <c r="T13" s="27" t="n">
        <f aca="false">T8</f>
        <v>0</v>
      </c>
      <c r="U13" s="27" t="n">
        <f aca="false">U8</f>
        <v>0</v>
      </c>
      <c r="V13" s="27" t="n">
        <f aca="false">V8</f>
        <v>0</v>
      </c>
      <c r="W13" s="27" t="n">
        <f aca="false">W8</f>
        <v>0</v>
      </c>
      <c r="X13" s="27" t="n">
        <f aca="false">X8</f>
        <v>0</v>
      </c>
      <c r="Y13" s="27" t="n">
        <f aca="false">Y8</f>
        <v>0</v>
      </c>
      <c r="Z13" s="27" t="n">
        <f aca="false">Z8</f>
        <v>0</v>
      </c>
      <c r="AA13" s="27" t="n">
        <f aca="false">AA8</f>
        <v>0</v>
      </c>
    </row>
    <row r="14" customFormat="false" ht="15" hidden="false" customHeight="false" outlineLevel="0" collapsed="false">
      <c r="A14" s="5"/>
      <c r="B14" s="26" t="s">
        <v>137</v>
      </c>
      <c r="C14" s="27" t="n">
        <f aca="false">Debt_Schedule!C9</f>
        <v>-3105000</v>
      </c>
      <c r="D14" s="27" t="n">
        <f aca="false">Debt_Schedule!D9</f>
        <v>-2932500</v>
      </c>
      <c r="E14" s="27" t="n">
        <f aca="false">Debt_Schedule!E9</f>
        <v>-2760000</v>
      </c>
      <c r="F14" s="27" t="n">
        <f aca="false">Debt_Schedule!F9</f>
        <v>-2587500</v>
      </c>
      <c r="G14" s="27" t="n">
        <f aca="false">Debt_Schedule!G9</f>
        <v>-2415000</v>
      </c>
      <c r="H14" s="27" t="n">
        <f aca="false">Debt_Schedule!H9</f>
        <v>-2242500</v>
      </c>
      <c r="I14" s="27" t="n">
        <f aca="false">Debt_Schedule!I9</f>
        <v>-2070000</v>
      </c>
      <c r="J14" s="27" t="n">
        <f aca="false">Debt_Schedule!J9</f>
        <v>-1897500</v>
      </c>
      <c r="K14" s="27" t="n">
        <f aca="false">Debt_Schedule!K9</f>
        <v>-1725000</v>
      </c>
      <c r="L14" s="27" t="n">
        <f aca="false">Debt_Schedule!L9</f>
        <v>-1552500</v>
      </c>
      <c r="M14" s="27" t="n">
        <f aca="false">Debt_Schedule!M9</f>
        <v>-1380000</v>
      </c>
      <c r="N14" s="27" t="n">
        <f aca="false">Debt_Schedule!N9</f>
        <v>-1207500</v>
      </c>
      <c r="O14" s="27" t="n">
        <f aca="false">Debt_Schedule!O9</f>
        <v>-1035000</v>
      </c>
      <c r="P14" s="27" t="n">
        <f aca="false">Debt_Schedule!P9</f>
        <v>-862500</v>
      </c>
      <c r="Q14" s="27" t="n">
        <f aca="false">Debt_Schedule!Q9</f>
        <v>-690000</v>
      </c>
      <c r="R14" s="27" t="n">
        <f aca="false">Debt_Schedule!R9</f>
        <v>-517500</v>
      </c>
      <c r="S14" s="27" t="n">
        <f aca="false">Debt_Schedule!S9</f>
        <v>-345000</v>
      </c>
      <c r="T14" s="27" t="n">
        <f aca="false">Debt_Schedule!T9</f>
        <v>-172500</v>
      </c>
      <c r="U14" s="27" t="n">
        <f aca="false">Debt_Schedule!U9</f>
        <v>0</v>
      </c>
      <c r="V14" s="27" t="n">
        <f aca="false">Debt_Schedule!V9</f>
        <v>0</v>
      </c>
      <c r="W14" s="27" t="n">
        <f aca="false">Debt_Schedule!W9</f>
        <v>0</v>
      </c>
      <c r="X14" s="27" t="n">
        <f aca="false">Debt_Schedule!X9</f>
        <v>0</v>
      </c>
      <c r="Y14" s="27" t="n">
        <f aca="false">Debt_Schedule!Y9</f>
        <v>0</v>
      </c>
      <c r="Z14" s="27" t="n">
        <f aca="false">Debt_Schedule!Z9</f>
        <v>0</v>
      </c>
      <c r="AA14" s="27" t="n">
        <f aca="false">Debt_Schedule!AA9</f>
        <v>0</v>
      </c>
    </row>
    <row r="15" customFormat="false" ht="15" hidden="false" customHeight="false" outlineLevel="0" collapsed="false">
      <c r="A15" s="5"/>
      <c r="B15" s="29" t="s">
        <v>148</v>
      </c>
      <c r="C15" s="30" t="n">
        <f aca="false">C11+C12+C13+C14</f>
        <v>-11014669.84</v>
      </c>
      <c r="D15" s="30" t="n">
        <f aca="false">D11+D12+D13+D14</f>
        <v>-21002075.42022</v>
      </c>
      <c r="E15" s="30" t="n">
        <f aca="false">E11+E12+E13+E14</f>
        <v>-9909872.60278839</v>
      </c>
      <c r="F15" s="30" t="n">
        <f aca="false">F11+F12+F13+F14</f>
        <v>-3170087.33103617</v>
      </c>
      <c r="G15" s="30" t="n">
        <f aca="false">G11+G12+G13+G14</f>
        <v>-2958746.34560785</v>
      </c>
      <c r="H15" s="30" t="n">
        <f aca="false">H11+H12+H13+H14</f>
        <v>2148122.79407155</v>
      </c>
      <c r="I15" s="30" t="n">
        <f aca="false">I11+I12+I13+I14</f>
        <v>7254491.68777795</v>
      </c>
      <c r="J15" s="30" t="n">
        <f aca="false">J11+J12+J13+J14</f>
        <v>7464331.07190417</v>
      </c>
      <c r="K15" s="30" t="n">
        <f aca="false">K11+K12+K13+K14</f>
        <v>7673610.79629593</v>
      </c>
      <c r="L15" s="30" t="n">
        <f aca="false">L11+L12+L13+L14</f>
        <v>7882299.80049344</v>
      </c>
      <c r="M15" s="30" t="n">
        <f aca="false">M11+M12+M13+M14</f>
        <v>8090366.08936347</v>
      </c>
      <c r="N15" s="30" t="n">
        <f aca="false">N11+N12+N13+N14</f>
        <v>8297776.70810653</v>
      </c>
      <c r="O15" s="30" t="n">
        <f aca="false">O11+O12+O13+O14</f>
        <v>8504497.71662332</v>
      </c>
      <c r="P15" s="30" t="n">
        <f aca="false">P11+P12+P13+P14</f>
        <v>8710494.16322441</v>
      </c>
      <c r="Q15" s="30" t="n">
        <f aca="false">Q11+Q12+Q13+Q14</f>
        <v>8915730.05766644</v>
      </c>
      <c r="R15" s="30" t="n">
        <f aca="false">R11+R12+R13+R14</f>
        <v>9120168.34349787</v>
      </c>
      <c r="S15" s="30" t="n">
        <f aca="false">S11+S12+S13+S14</f>
        <v>9323770.86969689</v>
      </c>
      <c r="T15" s="30" t="n">
        <f aca="false">T11+T12+T13+T14</f>
        <v>9526498.36158366</v>
      </c>
      <c r="U15" s="30" t="n">
        <f aca="false">U11+U12+U13+U14</f>
        <v>9728310.39098841</v>
      </c>
      <c r="V15" s="30" t="n">
        <f aca="false">V11+V12+V13+V14</f>
        <v>9756665.34565685</v>
      </c>
      <c r="W15" s="30" t="n">
        <f aca="false">W11+W12+W13+W14</f>
        <v>9784020.3978735</v>
      </c>
      <c r="X15" s="30" t="n">
        <f aca="false">X11+X12+X13+X14</f>
        <v>9810331.47228323</v>
      </c>
      <c r="Y15" s="30" t="n">
        <f aca="false">Y11+Y12+Y13+Y14</f>
        <v>9835553.21289089</v>
      </c>
      <c r="Z15" s="30" t="n">
        <f aca="false">Z11+Z12+Z13+Z14</f>
        <v>9859638.94921819</v>
      </c>
      <c r="AA15" s="30" t="n">
        <f aca="false">AA11+AA12+AA13+AA14</f>
        <v>9882540.66159661</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5"/>
      <c r="B17" s="7" t="s">
        <v>149</v>
      </c>
      <c r="C17" s="5"/>
      <c r="D17" s="5"/>
      <c r="E17" s="5"/>
      <c r="F17" s="5"/>
      <c r="G17" s="5"/>
      <c r="H17" s="5"/>
      <c r="I17" s="5"/>
      <c r="J17" s="5"/>
      <c r="K17" s="5"/>
      <c r="L17" s="5"/>
      <c r="M17" s="5"/>
      <c r="N17" s="5"/>
      <c r="O17" s="5"/>
      <c r="P17" s="5"/>
      <c r="Q17" s="5"/>
      <c r="R17" s="5"/>
      <c r="S17" s="5"/>
      <c r="T17" s="5"/>
      <c r="U17" s="5"/>
      <c r="V17" s="5"/>
      <c r="W17" s="5"/>
      <c r="X17" s="5"/>
      <c r="Y17" s="5"/>
      <c r="Z17" s="5"/>
      <c r="AA17" s="5"/>
    </row>
    <row r="18" customFormat="false" ht="15" hidden="false" customHeight="false" outlineLevel="0" collapsed="false">
      <c r="A18" s="5"/>
      <c r="B18" s="33" t="s">
        <v>150</v>
      </c>
      <c r="C18" s="27" t="n">
        <v>0</v>
      </c>
      <c r="D18" s="27" t="n">
        <f aca="false">C21</f>
        <v>11014669.84</v>
      </c>
      <c r="E18" s="27" t="n">
        <f aca="false">D21</f>
        <v>32016745.26022</v>
      </c>
      <c r="F18" s="27" t="n">
        <f aca="false">E21</f>
        <v>41926617.8630084</v>
      </c>
      <c r="G18" s="27" t="n">
        <f aca="false">F21</f>
        <v>45096705.1940446</v>
      </c>
      <c r="H18" s="27" t="n">
        <f aca="false">G21</f>
        <v>48055451.5396524</v>
      </c>
      <c r="I18" s="27" t="n">
        <f aca="false">H21</f>
        <v>46336953.3043952</v>
      </c>
      <c r="J18" s="27" t="n">
        <f aca="false">I21</f>
        <v>40533359.9541728</v>
      </c>
      <c r="K18" s="27" t="n">
        <f aca="false">J21</f>
        <v>34561895.0966495</v>
      </c>
      <c r="L18" s="27" t="n">
        <f aca="false">K21</f>
        <v>28423006.4596127</v>
      </c>
      <c r="M18" s="27" t="n">
        <f aca="false">L21</f>
        <v>22117166.619218</v>
      </c>
      <c r="N18" s="27" t="n">
        <f aca="false">M21</f>
        <v>15644873.7477272</v>
      </c>
      <c r="O18" s="27" t="n">
        <f aca="false">N21</f>
        <v>9006652.38124197</v>
      </c>
      <c r="P18" s="27" t="n">
        <f aca="false">O21</f>
        <v>2203054.20794332</v>
      </c>
      <c r="Q18" s="27" t="n">
        <f aca="false">P21</f>
        <v>0</v>
      </c>
      <c r="R18" s="27" t="n">
        <f aca="false">Q21</f>
        <v>0</v>
      </c>
      <c r="S18" s="27" t="n">
        <f aca="false">R21</f>
        <v>0</v>
      </c>
      <c r="T18" s="27" t="n">
        <f aca="false">S21</f>
        <v>0</v>
      </c>
      <c r="U18" s="27" t="n">
        <f aca="false">T21</f>
        <v>0</v>
      </c>
      <c r="V18" s="27" t="n">
        <f aca="false">U21</f>
        <v>0</v>
      </c>
      <c r="W18" s="27" t="n">
        <f aca="false">V21</f>
        <v>0</v>
      </c>
      <c r="X18" s="27" t="n">
        <f aca="false">W21</f>
        <v>0</v>
      </c>
      <c r="Y18" s="27" t="n">
        <f aca="false">X21</f>
        <v>0</v>
      </c>
      <c r="Z18" s="27" t="n">
        <f aca="false">Y21</f>
        <v>0</v>
      </c>
      <c r="AA18" s="27" t="n">
        <f aca="false">Z21</f>
        <v>0</v>
      </c>
    </row>
    <row r="19" customFormat="false" ht="15" hidden="false" customHeight="false" outlineLevel="0" collapsed="false">
      <c r="A19" s="5"/>
      <c r="B19" s="26" t="s">
        <v>151</v>
      </c>
      <c r="C19" s="27" t="n">
        <f aca="false">MAX(0,-C15)</f>
        <v>11014669.84</v>
      </c>
      <c r="D19" s="27" t="n">
        <f aca="false">MAX(0,-D15)</f>
        <v>21002075.42022</v>
      </c>
      <c r="E19" s="27" t="n">
        <f aca="false">MAX(0,-E15)</f>
        <v>9909872.60278839</v>
      </c>
      <c r="F19" s="27" t="n">
        <f aca="false">MAX(0,-F15)</f>
        <v>3170087.33103617</v>
      </c>
      <c r="G19" s="27" t="n">
        <f aca="false">MAX(0,-G15)</f>
        <v>2958746.34560785</v>
      </c>
      <c r="H19" s="27" t="n">
        <f aca="false">MAX(0,-H15)</f>
        <v>0</v>
      </c>
      <c r="I19" s="27" t="n">
        <f aca="false">MAX(0,-I15)</f>
        <v>0</v>
      </c>
      <c r="J19" s="27" t="n">
        <f aca="false">MAX(0,-J15)</f>
        <v>0</v>
      </c>
      <c r="K19" s="27" t="n">
        <f aca="false">MAX(0,-K15)</f>
        <v>0</v>
      </c>
      <c r="L19" s="27" t="n">
        <f aca="false">MAX(0,-L15)</f>
        <v>0</v>
      </c>
      <c r="M19" s="27" t="n">
        <f aca="false">MAX(0,-M15)</f>
        <v>0</v>
      </c>
      <c r="N19" s="27" t="n">
        <f aca="false">MAX(0,-N15)</f>
        <v>0</v>
      </c>
      <c r="O19" s="27" t="n">
        <f aca="false">MAX(0,-O15)</f>
        <v>0</v>
      </c>
      <c r="P19" s="27" t="n">
        <f aca="false">MAX(0,-P15)</f>
        <v>0</v>
      </c>
      <c r="Q19" s="27" t="n">
        <f aca="false">MAX(0,-Q15)</f>
        <v>0</v>
      </c>
      <c r="R19" s="27" t="n">
        <f aca="false">MAX(0,-R15)</f>
        <v>0</v>
      </c>
      <c r="S19" s="27" t="n">
        <f aca="false">MAX(0,-S15)</f>
        <v>0</v>
      </c>
      <c r="T19" s="27" t="n">
        <f aca="false">MAX(0,-T15)</f>
        <v>0</v>
      </c>
      <c r="U19" s="27" t="n">
        <f aca="false">MAX(0,-U15)</f>
        <v>0</v>
      </c>
      <c r="V19" s="27" t="n">
        <f aca="false">MAX(0,-V15)</f>
        <v>0</v>
      </c>
      <c r="W19" s="27" t="n">
        <f aca="false">MAX(0,-W15)</f>
        <v>0</v>
      </c>
      <c r="X19" s="27" t="n">
        <f aca="false">MAX(0,-X15)</f>
        <v>0</v>
      </c>
      <c r="Y19" s="27" t="n">
        <f aca="false">MAX(0,-Y15)</f>
        <v>0</v>
      </c>
      <c r="Z19" s="27" t="n">
        <f aca="false">MAX(0,-Z15)</f>
        <v>0</v>
      </c>
      <c r="AA19" s="27" t="n">
        <f aca="false">MAX(0,-AA15)</f>
        <v>0</v>
      </c>
    </row>
    <row r="20" customFormat="false" ht="15" hidden="false" customHeight="false" outlineLevel="0" collapsed="false">
      <c r="A20" s="5"/>
      <c r="B20" s="26" t="s">
        <v>152</v>
      </c>
      <c r="C20" s="27" t="n">
        <f aca="false">IF(C15&gt;0,MIN(C18,0.8*C15),0)</f>
        <v>0</v>
      </c>
      <c r="D20" s="27" t="n">
        <f aca="false">IF(D15&gt;0,MIN(D18,0.8*D15),0)</f>
        <v>0</v>
      </c>
      <c r="E20" s="27" t="n">
        <f aca="false">IF(E15&gt;0,MIN(E18,0.8*E15),0)</f>
        <v>0</v>
      </c>
      <c r="F20" s="27" t="n">
        <f aca="false">IF(F15&gt;0,MIN(F18,0.8*F15),0)</f>
        <v>0</v>
      </c>
      <c r="G20" s="27" t="n">
        <f aca="false">IF(G15&gt;0,MIN(G18,0.8*G15),0)</f>
        <v>0</v>
      </c>
      <c r="H20" s="27" t="n">
        <f aca="false">IF(H15&gt;0,MIN(H18,0.8*H15),0)</f>
        <v>1718498.23525724</v>
      </c>
      <c r="I20" s="27" t="n">
        <f aca="false">IF(I15&gt;0,MIN(I18,0.8*I15),0)</f>
        <v>5803593.35022236</v>
      </c>
      <c r="J20" s="27" t="n">
        <f aca="false">IF(J15&gt;0,MIN(J18,0.8*J15),0)</f>
        <v>5971464.85752334</v>
      </c>
      <c r="K20" s="27" t="n">
        <f aca="false">IF(K15&gt;0,MIN(K18,0.8*K15),0)</f>
        <v>6138888.63703675</v>
      </c>
      <c r="L20" s="27" t="n">
        <f aca="false">IF(L15&gt;0,MIN(L18,0.8*L15),0)</f>
        <v>6305839.84039476</v>
      </c>
      <c r="M20" s="27" t="n">
        <f aca="false">IF(M15&gt;0,MIN(M18,0.8*M15),0)</f>
        <v>6472292.87149078</v>
      </c>
      <c r="N20" s="27" t="n">
        <f aca="false">IF(N15&gt;0,MIN(N18,0.8*N15),0)</f>
        <v>6638221.36648522</v>
      </c>
      <c r="O20" s="27" t="n">
        <f aca="false">IF(O15&gt;0,MIN(O18,0.8*O15),0)</f>
        <v>6803598.17329865</v>
      </c>
      <c r="P20" s="27" t="n">
        <f aca="false">IF(P15&gt;0,MIN(P18,0.8*P15),0)</f>
        <v>2203054.20794332</v>
      </c>
      <c r="Q20" s="27" t="n">
        <f aca="false">IF(Q15&gt;0,MIN(Q18,0.8*Q15),0)</f>
        <v>0</v>
      </c>
      <c r="R20" s="27" t="n">
        <f aca="false">IF(R15&gt;0,MIN(R18,0.8*R15),0)</f>
        <v>0</v>
      </c>
      <c r="S20" s="27" t="n">
        <f aca="false">IF(S15&gt;0,MIN(S18,0.8*S15),0)</f>
        <v>0</v>
      </c>
      <c r="T20" s="27" t="n">
        <f aca="false">IF(T15&gt;0,MIN(T18,0.8*T15),0)</f>
        <v>0</v>
      </c>
      <c r="U20" s="27" t="n">
        <f aca="false">IF(U15&gt;0,MIN(U18,0.8*U15),0)</f>
        <v>0</v>
      </c>
      <c r="V20" s="27" t="n">
        <f aca="false">IF(V15&gt;0,MIN(V18,0.8*V15),0)</f>
        <v>0</v>
      </c>
      <c r="W20" s="27" t="n">
        <f aca="false">IF(W15&gt;0,MIN(W18,0.8*W15),0)</f>
        <v>0</v>
      </c>
      <c r="X20" s="27" t="n">
        <f aca="false">IF(X15&gt;0,MIN(X18,0.8*X15),0)</f>
        <v>0</v>
      </c>
      <c r="Y20" s="27" t="n">
        <f aca="false">IF(Y15&gt;0,MIN(Y18,0.8*Y15),0)</f>
        <v>0</v>
      </c>
      <c r="Z20" s="27" t="n">
        <f aca="false">IF(Z15&gt;0,MIN(Z18,0.8*Z15),0)</f>
        <v>0</v>
      </c>
      <c r="AA20" s="27" t="n">
        <f aca="false">IF(AA15&gt;0,MIN(AA18,0.8*AA15),0)</f>
        <v>0</v>
      </c>
    </row>
    <row r="21" customFormat="false" ht="15" hidden="false" customHeight="false" outlineLevel="0" collapsed="false">
      <c r="A21" s="5"/>
      <c r="B21" s="29" t="s">
        <v>153</v>
      </c>
      <c r="C21" s="30" t="n">
        <f aca="false">C18+C19-C20</f>
        <v>11014669.84</v>
      </c>
      <c r="D21" s="30" t="n">
        <f aca="false">D18+D19-D20</f>
        <v>32016745.26022</v>
      </c>
      <c r="E21" s="30" t="n">
        <f aca="false">E18+E19-E20</f>
        <v>41926617.8630084</v>
      </c>
      <c r="F21" s="30" t="n">
        <f aca="false">F18+F19-F20</f>
        <v>45096705.1940446</v>
      </c>
      <c r="G21" s="30" t="n">
        <f aca="false">G18+G19-G20</f>
        <v>48055451.5396524</v>
      </c>
      <c r="H21" s="30" t="n">
        <f aca="false">H18+H19-H20</f>
        <v>46336953.3043952</v>
      </c>
      <c r="I21" s="30" t="n">
        <f aca="false">I18+I19-I20</f>
        <v>40533359.9541728</v>
      </c>
      <c r="J21" s="30" t="n">
        <f aca="false">J18+J19-J20</f>
        <v>34561895.0966495</v>
      </c>
      <c r="K21" s="30" t="n">
        <f aca="false">K18+K19-K20</f>
        <v>28423006.4596127</v>
      </c>
      <c r="L21" s="30" t="n">
        <f aca="false">L18+L19-L20</f>
        <v>22117166.619218</v>
      </c>
      <c r="M21" s="30" t="n">
        <f aca="false">M18+M19-M20</f>
        <v>15644873.7477272</v>
      </c>
      <c r="N21" s="30" t="n">
        <f aca="false">N18+N19-N20</f>
        <v>9006652.38124197</v>
      </c>
      <c r="O21" s="30" t="n">
        <f aca="false">O18+O19-O20</f>
        <v>2203054.20794332</v>
      </c>
      <c r="P21" s="30" t="n">
        <f aca="false">P18+P19-P20</f>
        <v>0</v>
      </c>
      <c r="Q21" s="30" t="n">
        <f aca="false">Q18+Q19-Q20</f>
        <v>0</v>
      </c>
      <c r="R21" s="30" t="n">
        <f aca="false">R18+R19-R20</f>
        <v>0</v>
      </c>
      <c r="S21" s="30" t="n">
        <f aca="false">S18+S19-S20</f>
        <v>0</v>
      </c>
      <c r="T21" s="30" t="n">
        <f aca="false">T18+T19-T20</f>
        <v>0</v>
      </c>
      <c r="U21" s="30" t="n">
        <f aca="false">U18+U19-U20</f>
        <v>0</v>
      </c>
      <c r="V21" s="30" t="n">
        <f aca="false">V18+V19-V20</f>
        <v>0</v>
      </c>
      <c r="W21" s="30" t="n">
        <f aca="false">W18+W19-W20</f>
        <v>0</v>
      </c>
      <c r="X21" s="30" t="n">
        <f aca="false">X18+X19-X20</f>
        <v>0</v>
      </c>
      <c r="Y21" s="30" t="n">
        <f aca="false">Y18+Y19-Y20</f>
        <v>0</v>
      </c>
      <c r="Z21" s="30" t="n">
        <f aca="false">Z18+Z19-Z20</f>
        <v>0</v>
      </c>
      <c r="AA21" s="30" t="n">
        <f aca="false">AA18+AA19-AA20</f>
        <v>0</v>
      </c>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7" t="s">
        <v>154</v>
      </c>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26" t="s">
        <v>155</v>
      </c>
      <c r="C24" s="27" t="n">
        <f aca="false">C15-C20</f>
        <v>-11014669.84</v>
      </c>
      <c r="D24" s="27" t="n">
        <f aca="false">D15-D20</f>
        <v>-21002075.42022</v>
      </c>
      <c r="E24" s="27" t="n">
        <f aca="false">E15-E20</f>
        <v>-9909872.60278839</v>
      </c>
      <c r="F24" s="27" t="n">
        <f aca="false">F15-F20</f>
        <v>-3170087.33103617</v>
      </c>
      <c r="G24" s="27" t="n">
        <f aca="false">G15-G20</f>
        <v>-2958746.34560785</v>
      </c>
      <c r="H24" s="27" t="n">
        <f aca="false">H15-H20</f>
        <v>429624.558814309</v>
      </c>
      <c r="I24" s="27" t="n">
        <f aca="false">I15-I20</f>
        <v>1450898.33755559</v>
      </c>
      <c r="J24" s="27" t="n">
        <f aca="false">J15-J20</f>
        <v>1492866.21438083</v>
      </c>
      <c r="K24" s="27" t="n">
        <f aca="false">K15-K20</f>
        <v>1534722.15925919</v>
      </c>
      <c r="L24" s="27" t="n">
        <f aca="false">L15-L20</f>
        <v>1576459.96009869</v>
      </c>
      <c r="M24" s="27" t="n">
        <f aca="false">M15-M20</f>
        <v>1618073.21787269</v>
      </c>
      <c r="N24" s="27" t="n">
        <f aca="false">N15-N20</f>
        <v>1659555.3416213</v>
      </c>
      <c r="O24" s="27" t="n">
        <f aca="false">O15-O20</f>
        <v>1700899.54332466</v>
      </c>
      <c r="P24" s="27" t="n">
        <f aca="false">P15-P20</f>
        <v>6507439.95528109</v>
      </c>
      <c r="Q24" s="27" t="n">
        <f aca="false">Q15-Q20</f>
        <v>8915730.05766644</v>
      </c>
      <c r="R24" s="27" t="n">
        <f aca="false">R15-R20</f>
        <v>9120168.34349787</v>
      </c>
      <c r="S24" s="27" t="n">
        <f aca="false">S15-S20</f>
        <v>9323770.86969689</v>
      </c>
      <c r="T24" s="27" t="n">
        <f aca="false">T15-T20</f>
        <v>9526498.36158366</v>
      </c>
      <c r="U24" s="27" t="n">
        <f aca="false">U15-U20</f>
        <v>9728310.39098841</v>
      </c>
      <c r="V24" s="27" t="n">
        <f aca="false">V15-V20</f>
        <v>9756665.34565685</v>
      </c>
      <c r="W24" s="27" t="n">
        <f aca="false">W15-W20</f>
        <v>9784020.3978735</v>
      </c>
      <c r="X24" s="27" t="n">
        <f aca="false">X15-X20</f>
        <v>9810331.47228323</v>
      </c>
      <c r="Y24" s="27" t="n">
        <f aca="false">Y15-Y20</f>
        <v>9835553.21289089</v>
      </c>
      <c r="Z24" s="27" t="n">
        <f aca="false">Z15-Z20</f>
        <v>9859638.94921819</v>
      </c>
      <c r="AA24" s="27" t="n">
        <f aca="false">AA15-AA20</f>
        <v>9882540.66159661</v>
      </c>
    </row>
    <row r="25" customFormat="false" ht="15" hidden="false" customHeight="false" outlineLevel="0" collapsed="false">
      <c r="A25" s="5"/>
      <c r="B25" s="29" t="s">
        <v>156</v>
      </c>
      <c r="C25" s="30" t="n">
        <f aca="false">-MAX(0,C24)*Combined_Tax_Rate</f>
        <v>-0</v>
      </c>
      <c r="D25" s="30" t="n">
        <f aca="false">-MAX(0,D24)*Combined_Tax_Rate</f>
        <v>-0</v>
      </c>
      <c r="E25" s="30" t="n">
        <f aca="false">-MAX(0,E24)*Combined_Tax_Rate</f>
        <v>-0</v>
      </c>
      <c r="F25" s="30" t="n">
        <f aca="false">-MAX(0,F24)*Combined_Tax_Rate</f>
        <v>-0</v>
      </c>
      <c r="G25" s="30" t="n">
        <f aca="false">-MAX(0,G24)*Combined_Tax_Rate</f>
        <v>-0</v>
      </c>
      <c r="H25" s="30" t="n">
        <f aca="false">-MAX(0,H24)*Combined_Tax_Rate</f>
        <v>-111702.38529172</v>
      </c>
      <c r="I25" s="30" t="n">
        <f aca="false">-MAX(0,I24)*Combined_Tax_Rate</f>
        <v>-377233.567764453</v>
      </c>
      <c r="J25" s="30" t="n">
        <f aca="false">-MAX(0,J24)*Combined_Tax_Rate</f>
        <v>-388145.215739017</v>
      </c>
      <c r="K25" s="30" t="n">
        <f aca="false">-MAX(0,K24)*Combined_Tax_Rate</f>
        <v>-399027.761407388</v>
      </c>
      <c r="L25" s="30" t="n">
        <f aca="false">-MAX(0,L24)*Combined_Tax_Rate</f>
        <v>-409879.589625659</v>
      </c>
      <c r="M25" s="30" t="n">
        <f aca="false">-MAX(0,M24)*Combined_Tax_Rate</f>
        <v>-420699.0366469</v>
      </c>
      <c r="N25" s="30" t="n">
        <f aca="false">-MAX(0,N24)*Combined_Tax_Rate</f>
        <v>-431484.388821539</v>
      </c>
      <c r="O25" s="30" t="n">
        <f aca="false">-MAX(0,O24)*Combined_Tax_Rate</f>
        <v>-442233.881264413</v>
      </c>
      <c r="P25" s="30" t="n">
        <f aca="false">-MAX(0,P24)*Combined_Tax_Rate</f>
        <v>-1691934.38837308</v>
      </c>
      <c r="Q25" s="30" t="n">
        <f aca="false">-MAX(0,Q24)*Combined_Tax_Rate</f>
        <v>-2318089.81499327</v>
      </c>
      <c r="R25" s="30" t="n">
        <f aca="false">-MAX(0,R24)*Combined_Tax_Rate</f>
        <v>-2371243.76930945</v>
      </c>
      <c r="S25" s="30" t="n">
        <f aca="false">-MAX(0,S24)*Combined_Tax_Rate</f>
        <v>-2424180.42612119</v>
      </c>
      <c r="T25" s="30" t="n">
        <f aca="false">-MAX(0,T24)*Combined_Tax_Rate</f>
        <v>-2476889.57401175</v>
      </c>
      <c r="U25" s="30" t="n">
        <f aca="false">-MAX(0,U24)*Combined_Tax_Rate</f>
        <v>-2529360.70165699</v>
      </c>
      <c r="V25" s="30" t="n">
        <f aca="false">-MAX(0,V24)*Combined_Tax_Rate</f>
        <v>-2536732.98987078</v>
      </c>
      <c r="W25" s="30" t="n">
        <f aca="false">-MAX(0,W24)*Combined_Tax_Rate</f>
        <v>-2543845.30344711</v>
      </c>
      <c r="X25" s="30" t="n">
        <f aca="false">-MAX(0,X24)*Combined_Tax_Rate</f>
        <v>-2550686.18279364</v>
      </c>
      <c r="Y25" s="30" t="n">
        <f aca="false">-MAX(0,Y24)*Combined_Tax_Rate</f>
        <v>-2557243.83535163</v>
      </c>
      <c r="Z25" s="30" t="n">
        <f aca="false">-MAX(0,Z24)*Combined_Tax_Rate</f>
        <v>-2563506.12679673</v>
      </c>
      <c r="AA25" s="30" t="n">
        <f aca="false">-MAX(0,AA24)*Combined_Tax_Rate</f>
        <v>-2569460.57201512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A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2" min="2" style="0" width="42"/>
    <col collapsed="false" customWidth="true" hidden="false" outlineLevel="0" max="27"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2"/>
      <c r="AC1" s="2"/>
      <c r="AD1" s="2"/>
    </row>
    <row r="2" customFormat="false" ht="21.75" hidden="false" customHeight="tru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2"/>
      <c r="AC2" s="2"/>
      <c r="AD2" s="2"/>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2"/>
      <c r="AC3" s="2"/>
      <c r="AD3" s="2"/>
    </row>
    <row r="4" customFormat="false" ht="15" hidden="false" customHeight="false" outlineLevel="0" collapsed="false">
      <c r="A4" s="5"/>
      <c r="B4" s="24" t="s">
        <v>114</v>
      </c>
      <c r="C4" s="25" t="n">
        <v>1</v>
      </c>
      <c r="D4" s="25" t="n">
        <v>2</v>
      </c>
      <c r="E4" s="25" t="n">
        <v>3</v>
      </c>
      <c r="F4" s="25" t="n">
        <v>4</v>
      </c>
      <c r="G4" s="25" t="n">
        <v>5</v>
      </c>
      <c r="H4" s="25" t="n">
        <v>6</v>
      </c>
      <c r="I4" s="25" t="n">
        <v>7</v>
      </c>
      <c r="J4" s="25" t="n">
        <v>8</v>
      </c>
      <c r="K4" s="25" t="n">
        <v>9</v>
      </c>
      <c r="L4" s="25" t="n">
        <v>10</v>
      </c>
      <c r="M4" s="25" t="n">
        <v>11</v>
      </c>
      <c r="N4" s="25" t="n">
        <v>12</v>
      </c>
      <c r="O4" s="25" t="n">
        <v>13</v>
      </c>
      <c r="P4" s="25" t="n">
        <v>14</v>
      </c>
      <c r="Q4" s="25" t="n">
        <v>15</v>
      </c>
      <c r="R4" s="25" t="n">
        <v>16</v>
      </c>
      <c r="S4" s="25" t="n">
        <v>17</v>
      </c>
      <c r="T4" s="25" t="n">
        <v>18</v>
      </c>
      <c r="U4" s="25" t="n">
        <v>19</v>
      </c>
      <c r="V4" s="25" t="n">
        <v>20</v>
      </c>
      <c r="W4" s="25" t="n">
        <v>21</v>
      </c>
      <c r="X4" s="25" t="n">
        <v>22</v>
      </c>
      <c r="Y4" s="25" t="n">
        <v>23</v>
      </c>
      <c r="Z4" s="25" t="n">
        <v>24</v>
      </c>
      <c r="AA4" s="25" t="n">
        <v>25</v>
      </c>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row>
    <row r="6" customFormat="false" ht="15" hidden="false" customHeight="false" outlineLevel="0" collapsed="false">
      <c r="A6" s="5"/>
      <c r="B6" s="7" t="s">
        <v>44</v>
      </c>
      <c r="C6" s="5"/>
      <c r="D6" s="5"/>
      <c r="E6" s="5"/>
      <c r="F6" s="5"/>
      <c r="G6" s="5"/>
      <c r="H6" s="5"/>
      <c r="I6" s="5"/>
      <c r="J6" s="5"/>
      <c r="K6" s="5"/>
      <c r="L6" s="5"/>
      <c r="M6" s="5"/>
      <c r="N6" s="5"/>
      <c r="O6" s="5"/>
      <c r="P6" s="5"/>
      <c r="Q6" s="5"/>
      <c r="R6" s="5"/>
      <c r="S6" s="5"/>
      <c r="T6" s="5"/>
      <c r="U6" s="5"/>
      <c r="V6" s="5"/>
      <c r="W6" s="5"/>
      <c r="X6" s="5"/>
      <c r="Y6" s="5"/>
      <c r="Z6" s="5"/>
      <c r="AA6" s="5"/>
    </row>
    <row r="7" customFormat="false" ht="15" hidden="false" customHeight="false" outlineLevel="0" collapsed="false">
      <c r="A7" s="5"/>
      <c r="B7" s="26" t="s">
        <v>123</v>
      </c>
      <c r="C7" s="27" t="n">
        <f aca="false">Revenue!C9</f>
        <v>10354845.6</v>
      </c>
      <c r="D7" s="27" t="n">
        <f aca="false">Revenue!D9</f>
        <v>10457617.44258</v>
      </c>
      <c r="E7" s="27" t="n">
        <f aca="false">Revenue!E9</f>
        <v>10561409.2956976</v>
      </c>
      <c r="F7" s="27" t="n">
        <f aca="false">Revenue!F9</f>
        <v>10666231.2829574</v>
      </c>
      <c r="G7" s="27" t="n">
        <f aca="false">Revenue!G9</f>
        <v>10772093.6284408</v>
      </c>
      <c r="H7" s="27" t="n">
        <f aca="false">Revenue!H9</f>
        <v>10879006.657703</v>
      </c>
      <c r="I7" s="27" t="n">
        <f aca="false">Revenue!I9</f>
        <v>10986980.7987807</v>
      </c>
      <c r="J7" s="27" t="n">
        <f aca="false">Revenue!J9</f>
        <v>11096026.5832086</v>
      </c>
      <c r="K7" s="27" t="n">
        <f aca="false">Revenue!K9</f>
        <v>11206154.647047</v>
      </c>
      <c r="L7" s="27" t="n">
        <f aca="false">Revenue!L9</f>
        <v>11317375.7319189</v>
      </c>
      <c r="M7" s="27" t="n">
        <f aca="false">Revenue!M9</f>
        <v>11429700.6860582</v>
      </c>
      <c r="N7" s="27" t="n">
        <f aca="false">Revenue!N9</f>
        <v>11543140.4653673</v>
      </c>
      <c r="O7" s="27" t="n">
        <f aca="false">Revenue!O9</f>
        <v>11657706.1344861</v>
      </c>
      <c r="P7" s="27" t="n">
        <f aca="false">Revenue!P9</f>
        <v>11773408.8678709</v>
      </c>
      <c r="Q7" s="27" t="n">
        <f aca="false">Revenue!Q9</f>
        <v>11890259.9508845</v>
      </c>
      <c r="R7" s="27" t="n">
        <f aca="false">Revenue!R9</f>
        <v>12008270.780897</v>
      </c>
      <c r="S7" s="27" t="n">
        <f aca="false">Revenue!S9</f>
        <v>12127452.8683974</v>
      </c>
      <c r="T7" s="27" t="n">
        <f aca="false">Revenue!T9</f>
        <v>12247817.8381163</v>
      </c>
      <c r="U7" s="27" t="n">
        <f aca="false">Revenue!U9</f>
        <v>12369377.4301596</v>
      </c>
      <c r="V7" s="27" t="n">
        <f aca="false">Revenue!V9</f>
        <v>12492143.5011539</v>
      </c>
      <c r="W7" s="27" t="n">
        <f aca="false">Revenue!W9</f>
        <v>12616128.0254029</v>
      </c>
      <c r="X7" s="27" t="n">
        <f aca="false">Revenue!X9</f>
        <v>12741343.096055</v>
      </c>
      <c r="Y7" s="27" t="n">
        <f aca="false">Revenue!Y9</f>
        <v>12867800.9262833</v>
      </c>
      <c r="Z7" s="27" t="n">
        <f aca="false">Revenue!Z9</f>
        <v>12995513.8504767</v>
      </c>
      <c r="AA7" s="27" t="n">
        <f aca="false">Revenue!AA9</f>
        <v>13124494.3254427</v>
      </c>
    </row>
    <row r="8" customFormat="false" ht="15" hidden="false" customHeight="false" outlineLevel="0" collapsed="false">
      <c r="A8" s="5"/>
      <c r="B8" s="26" t="s">
        <v>124</v>
      </c>
      <c r="C8" s="27" t="n">
        <f aca="false">Revenue!C11</f>
        <v>1035484.56</v>
      </c>
      <c r="D8" s="27" t="n">
        <f aca="false">Revenue!D11</f>
        <v>1030307.1372</v>
      </c>
      <c r="E8" s="27" t="n">
        <f aca="false">Revenue!E11</f>
        <v>1025155.601514</v>
      </c>
      <c r="F8" s="27" t="n">
        <f aca="false">Revenue!F11</f>
        <v>1020029.82350643</v>
      </c>
      <c r="G8" s="27" t="n">
        <f aca="false">Revenue!G11</f>
        <v>1014929.6743889</v>
      </c>
      <c r="H8" s="27" t="n">
        <f aca="false">Revenue!H11</f>
        <v>1009855.02601695</v>
      </c>
      <c r="I8" s="27" t="n">
        <f aca="false">Revenue!I11</f>
        <v>1004805.75088687</v>
      </c>
      <c r="J8" s="27" t="n">
        <f aca="false">Revenue!J11</f>
        <v>999781.722132434</v>
      </c>
      <c r="K8" s="27" t="n">
        <f aca="false">Revenue!K11</f>
        <v>994782.813521772</v>
      </c>
      <c r="L8" s="27" t="n">
        <f aca="false">Revenue!L11</f>
        <v>989808.899454163</v>
      </c>
      <c r="M8" s="27" t="n">
        <f aca="false">Revenue!M11</f>
        <v>984859.854956892</v>
      </c>
      <c r="N8" s="27" t="n">
        <f aca="false">Revenue!N11</f>
        <v>979935.555682108</v>
      </c>
      <c r="O8" s="27" t="n">
        <f aca="false">Revenue!O11</f>
        <v>975035.877903697</v>
      </c>
      <c r="P8" s="27" t="n">
        <f aca="false">Revenue!P11</f>
        <v>970160.698514179</v>
      </c>
      <c r="Q8" s="27" t="n">
        <f aca="false">Revenue!Q11</f>
        <v>965309.895021608</v>
      </c>
      <c r="R8" s="27" t="n">
        <f aca="false">Revenue!R11</f>
        <v>960483.3455465</v>
      </c>
      <c r="S8" s="27" t="n">
        <f aca="false">Revenue!S11</f>
        <v>955680.928818767</v>
      </c>
      <c r="T8" s="27" t="n">
        <f aca="false">Revenue!T11</f>
        <v>950902.524174674</v>
      </c>
      <c r="U8" s="27" t="n">
        <f aca="false">Revenue!U11</f>
        <v>946148.0115538</v>
      </c>
      <c r="V8" s="27" t="n">
        <f aca="false">Revenue!V11</f>
        <v>941417.271496031</v>
      </c>
      <c r="W8" s="27" t="n">
        <f aca="false">Revenue!W11</f>
        <v>936710.185138551</v>
      </c>
      <c r="X8" s="27" t="n">
        <f aca="false">Revenue!X11</f>
        <v>932026.634212858</v>
      </c>
      <c r="Y8" s="27" t="n">
        <f aca="false">Revenue!Y11</f>
        <v>927366.501041794</v>
      </c>
      <c r="Z8" s="27" t="n">
        <f aca="false">Revenue!Z11</f>
        <v>922729.668536585</v>
      </c>
      <c r="AA8" s="27" t="n">
        <f aca="false">Revenue!AA11</f>
        <v>918116.020193902</v>
      </c>
    </row>
    <row r="9" customFormat="false" ht="15" hidden="false" customHeight="false" outlineLevel="0" collapsed="false">
      <c r="A9" s="5"/>
      <c r="B9" s="29" t="s">
        <v>125</v>
      </c>
      <c r="C9" s="30" t="n">
        <f aca="false">C7+C8</f>
        <v>11390330.16</v>
      </c>
      <c r="D9" s="30" t="n">
        <f aca="false">D7+D8</f>
        <v>11487924.57978</v>
      </c>
      <c r="E9" s="30" t="n">
        <f aca="false">E7+E8</f>
        <v>11586564.8972116</v>
      </c>
      <c r="F9" s="30" t="n">
        <f aca="false">F7+F8</f>
        <v>11686261.1064638</v>
      </c>
      <c r="G9" s="30" t="n">
        <f aca="false">G7+G8</f>
        <v>11787023.3028297</v>
      </c>
      <c r="H9" s="30" t="n">
        <f aca="false">H7+H8</f>
        <v>11888861.68372</v>
      </c>
      <c r="I9" s="30" t="n">
        <f aca="false">I7+I8</f>
        <v>11991786.5496676</v>
      </c>
      <c r="J9" s="30" t="n">
        <f aca="false">J7+J8</f>
        <v>12095808.3053411</v>
      </c>
      <c r="K9" s="30" t="n">
        <f aca="false">K7+K8</f>
        <v>12200937.4605687</v>
      </c>
      <c r="L9" s="30" t="n">
        <f aca="false">L7+L8</f>
        <v>12307184.6313731</v>
      </c>
      <c r="M9" s="30" t="n">
        <f aca="false">M7+M8</f>
        <v>12414560.5410151</v>
      </c>
      <c r="N9" s="30" t="n">
        <f aca="false">N7+N8</f>
        <v>12523076.0210494</v>
      </c>
      <c r="O9" s="30" t="n">
        <f aca="false">O7+O8</f>
        <v>12632742.0123898</v>
      </c>
      <c r="P9" s="30" t="n">
        <f aca="false">P7+P8</f>
        <v>12743569.5663851</v>
      </c>
      <c r="Q9" s="30" t="n">
        <f aca="false">Q7+Q8</f>
        <v>12855569.8459061</v>
      </c>
      <c r="R9" s="30" t="n">
        <f aca="false">R7+R8</f>
        <v>12968754.1264435</v>
      </c>
      <c r="S9" s="30" t="n">
        <f aca="false">S7+S8</f>
        <v>13083133.7972162</v>
      </c>
      <c r="T9" s="30" t="n">
        <f aca="false">T7+T8</f>
        <v>13198720.3622909</v>
      </c>
      <c r="U9" s="30" t="n">
        <f aca="false">U7+U8</f>
        <v>13315525.4417134</v>
      </c>
      <c r="V9" s="30" t="n">
        <f aca="false">V7+V8</f>
        <v>13433560.7726499</v>
      </c>
      <c r="W9" s="30" t="n">
        <f aca="false">W7+W8</f>
        <v>13552838.2105414</v>
      </c>
      <c r="X9" s="30" t="n">
        <f aca="false">X7+X8</f>
        <v>13673369.7302678</v>
      </c>
      <c r="Y9" s="30" t="n">
        <f aca="false">Y7+Y8</f>
        <v>13795167.4273251</v>
      </c>
      <c r="Z9" s="30" t="n">
        <f aca="false">Z7+Z8</f>
        <v>13918243.5190133</v>
      </c>
      <c r="AA9" s="30" t="n">
        <f aca="false">AA7+AA8</f>
        <v>14042610.3456366</v>
      </c>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customFormat="false" ht="15" hidden="false" customHeight="false" outlineLevel="0" collapsed="false">
      <c r="A11" s="5"/>
      <c r="B11" s="7" t="s">
        <v>49</v>
      </c>
      <c r="C11" s="5"/>
      <c r="D11" s="5"/>
      <c r="E11" s="5"/>
      <c r="F11" s="5"/>
      <c r="G11" s="5"/>
      <c r="H11" s="5"/>
      <c r="I11" s="5"/>
      <c r="J11" s="5"/>
      <c r="K11" s="5"/>
      <c r="L11" s="5"/>
      <c r="M11" s="5"/>
      <c r="N11" s="5"/>
      <c r="O11" s="5"/>
      <c r="P11" s="5"/>
      <c r="Q11" s="5"/>
      <c r="R11" s="5"/>
      <c r="S11" s="5"/>
      <c r="T11" s="5"/>
      <c r="U11" s="5"/>
      <c r="V11" s="5"/>
      <c r="W11" s="5"/>
      <c r="X11" s="5"/>
      <c r="Y11" s="5"/>
      <c r="Z11" s="5"/>
      <c r="AA11" s="5"/>
    </row>
    <row r="12" customFormat="false" ht="15" hidden="false" customHeight="false" outlineLevel="0" collapsed="false">
      <c r="A12" s="5"/>
      <c r="B12" s="26" t="s">
        <v>127</v>
      </c>
      <c r="C12" s="27" t="n">
        <f aca="false">OpEx!C7</f>
        <v>-1200000</v>
      </c>
      <c r="D12" s="27" t="n">
        <f aca="false">OpEx!D7</f>
        <v>-1230000</v>
      </c>
      <c r="E12" s="27" t="n">
        <f aca="false">OpEx!E7</f>
        <v>-1260750</v>
      </c>
      <c r="F12" s="27" t="n">
        <f aca="false">OpEx!F7</f>
        <v>-1292268.75</v>
      </c>
      <c r="G12" s="27" t="n">
        <f aca="false">OpEx!G7</f>
        <v>-1324575.46875</v>
      </c>
      <c r="H12" s="27" t="n">
        <f aca="false">OpEx!H7</f>
        <v>-1357689.85546875</v>
      </c>
      <c r="I12" s="27" t="n">
        <f aca="false">OpEx!I7</f>
        <v>-1391632.10185547</v>
      </c>
      <c r="J12" s="27" t="n">
        <f aca="false">OpEx!J7</f>
        <v>-1426422.90440185</v>
      </c>
      <c r="K12" s="27" t="n">
        <f aca="false">OpEx!K7</f>
        <v>-1462083.4770119</v>
      </c>
      <c r="L12" s="27" t="n">
        <f aca="false">OpEx!L7</f>
        <v>-1498635.5639372</v>
      </c>
      <c r="M12" s="27" t="n">
        <f aca="false">OpEx!M7</f>
        <v>-1536101.45303563</v>
      </c>
      <c r="N12" s="27" t="n">
        <f aca="false">OpEx!N7</f>
        <v>-1574503.98936152</v>
      </c>
      <c r="O12" s="27" t="n">
        <f aca="false">OpEx!O7</f>
        <v>-1613866.58909556</v>
      </c>
      <c r="P12" s="27" t="n">
        <f aca="false">OpEx!P7</f>
        <v>-1654213.25382295</v>
      </c>
      <c r="Q12" s="27" t="n">
        <f aca="false">OpEx!Q7</f>
        <v>-1695568.58516852</v>
      </c>
      <c r="R12" s="27" t="n">
        <f aca="false">OpEx!R7</f>
        <v>-1737957.79979773</v>
      </c>
      <c r="S12" s="27" t="n">
        <f aca="false">OpEx!S7</f>
        <v>-1781406.74479267</v>
      </c>
      <c r="T12" s="27" t="n">
        <f aca="false">OpEx!T7</f>
        <v>-1825941.91341249</v>
      </c>
      <c r="U12" s="27" t="n">
        <f aca="false">OpEx!U7</f>
        <v>-1871590.4612478</v>
      </c>
      <c r="V12" s="27" t="n">
        <f aca="false">OpEx!V7</f>
        <v>-1918380.222779</v>
      </c>
      <c r="W12" s="27" t="n">
        <f aca="false">OpEx!W7</f>
        <v>-1966339.72834847</v>
      </c>
      <c r="X12" s="27" t="n">
        <f aca="false">OpEx!X7</f>
        <v>-2015498.22155719</v>
      </c>
      <c r="Y12" s="27" t="n">
        <f aca="false">OpEx!Y7</f>
        <v>-2065885.67709611</v>
      </c>
      <c r="Z12" s="27" t="n">
        <f aca="false">OpEx!Z7</f>
        <v>-2117532.81902352</v>
      </c>
      <c r="AA12" s="27" t="n">
        <f aca="false">OpEx!AA7</f>
        <v>-2170471.1394991</v>
      </c>
    </row>
    <row r="13" customFormat="false" ht="15" hidden="false" customHeight="false" outlineLevel="0" collapsed="false">
      <c r="A13" s="5"/>
      <c r="B13" s="26" t="s">
        <v>128</v>
      </c>
      <c r="C13" s="27" t="n">
        <f aca="false">OpEx!C8</f>
        <v>-350000</v>
      </c>
      <c r="D13" s="27" t="n">
        <f aca="false">OpEx!D8</f>
        <v>-358750</v>
      </c>
      <c r="E13" s="27" t="n">
        <f aca="false">OpEx!E8</f>
        <v>-367718.75</v>
      </c>
      <c r="F13" s="27" t="n">
        <f aca="false">OpEx!F8</f>
        <v>-376911.71875</v>
      </c>
      <c r="G13" s="27" t="n">
        <f aca="false">OpEx!G8</f>
        <v>-386334.51171875</v>
      </c>
      <c r="H13" s="27" t="n">
        <f aca="false">OpEx!H8</f>
        <v>-395992.874511719</v>
      </c>
      <c r="I13" s="27" t="n">
        <f aca="false">OpEx!I8</f>
        <v>-405892.696374511</v>
      </c>
      <c r="J13" s="27" t="n">
        <f aca="false">OpEx!J8</f>
        <v>-416040.013783874</v>
      </c>
      <c r="K13" s="27" t="n">
        <f aca="false">OpEx!K8</f>
        <v>-426441.014128471</v>
      </c>
      <c r="L13" s="27" t="n">
        <f aca="false">OpEx!L8</f>
        <v>-437102.039481683</v>
      </c>
      <c r="M13" s="27" t="n">
        <f aca="false">OpEx!M8</f>
        <v>-448029.590468725</v>
      </c>
      <c r="N13" s="27" t="n">
        <f aca="false">OpEx!N8</f>
        <v>-459230.330230443</v>
      </c>
      <c r="O13" s="27" t="n">
        <f aca="false">OpEx!O8</f>
        <v>-470711.088486204</v>
      </c>
      <c r="P13" s="27" t="n">
        <f aca="false">OpEx!P8</f>
        <v>-482478.865698359</v>
      </c>
      <c r="Q13" s="27" t="n">
        <f aca="false">OpEx!Q8</f>
        <v>-494540.837340818</v>
      </c>
      <c r="R13" s="27" t="n">
        <f aca="false">OpEx!R8</f>
        <v>-506904.358274338</v>
      </c>
      <c r="S13" s="27" t="n">
        <f aca="false">OpEx!S8</f>
        <v>-519576.967231197</v>
      </c>
      <c r="T13" s="27" t="n">
        <f aca="false">OpEx!T8</f>
        <v>-532566.391411977</v>
      </c>
      <c r="U13" s="27" t="n">
        <f aca="false">OpEx!U8</f>
        <v>-545880.551197276</v>
      </c>
      <c r="V13" s="27" t="n">
        <f aca="false">OpEx!V8</f>
        <v>-559527.564977208</v>
      </c>
      <c r="W13" s="27" t="n">
        <f aca="false">OpEx!W8</f>
        <v>-573515.754101638</v>
      </c>
      <c r="X13" s="27" t="n">
        <f aca="false">OpEx!X8</f>
        <v>-587853.647954179</v>
      </c>
      <c r="Y13" s="27" t="n">
        <f aca="false">OpEx!Y8</f>
        <v>-602549.989153033</v>
      </c>
      <c r="Z13" s="27" t="n">
        <f aca="false">OpEx!Z8</f>
        <v>-617613.738881859</v>
      </c>
      <c r="AA13" s="27" t="n">
        <f aca="false">OpEx!AA8</f>
        <v>-633054.082353906</v>
      </c>
    </row>
    <row r="14" customFormat="false" ht="15" hidden="false" customHeight="false" outlineLevel="0" collapsed="false">
      <c r="A14" s="5"/>
      <c r="B14" s="26" t="s">
        <v>129</v>
      </c>
      <c r="C14" s="27" t="n">
        <f aca="false">OpEx!C9</f>
        <v>-500000</v>
      </c>
      <c r="D14" s="27" t="n">
        <f aca="false">OpEx!D9</f>
        <v>-512500</v>
      </c>
      <c r="E14" s="27" t="n">
        <f aca="false">OpEx!E9</f>
        <v>-525312.5</v>
      </c>
      <c r="F14" s="27" t="n">
        <f aca="false">OpEx!F9</f>
        <v>-538445.3125</v>
      </c>
      <c r="G14" s="27" t="n">
        <f aca="false">OpEx!G9</f>
        <v>-551906.4453125</v>
      </c>
      <c r="H14" s="27" t="n">
        <f aca="false">OpEx!H9</f>
        <v>-565704.106445312</v>
      </c>
      <c r="I14" s="27" t="n">
        <f aca="false">OpEx!I9</f>
        <v>-579846.709106445</v>
      </c>
      <c r="J14" s="27" t="n">
        <f aca="false">OpEx!J9</f>
        <v>-594342.876834106</v>
      </c>
      <c r="K14" s="27" t="n">
        <f aca="false">OpEx!K9</f>
        <v>-609201.448754959</v>
      </c>
      <c r="L14" s="27" t="n">
        <f aca="false">OpEx!L9</f>
        <v>-624431.484973833</v>
      </c>
      <c r="M14" s="27" t="n">
        <f aca="false">OpEx!M9</f>
        <v>-640042.272098178</v>
      </c>
      <c r="N14" s="27" t="n">
        <f aca="false">OpEx!N9</f>
        <v>-656043.328900633</v>
      </c>
      <c r="O14" s="27" t="n">
        <f aca="false">OpEx!O9</f>
        <v>-672444.412123149</v>
      </c>
      <c r="P14" s="27" t="n">
        <f aca="false">OpEx!P9</f>
        <v>-689255.522426227</v>
      </c>
      <c r="Q14" s="27" t="n">
        <f aca="false">OpEx!Q9</f>
        <v>-706486.910486883</v>
      </c>
      <c r="R14" s="27" t="n">
        <f aca="false">OpEx!R9</f>
        <v>-724149.083249055</v>
      </c>
      <c r="S14" s="27" t="n">
        <f aca="false">OpEx!S9</f>
        <v>-742252.810330281</v>
      </c>
      <c r="T14" s="27" t="n">
        <f aca="false">OpEx!T9</f>
        <v>-760809.130588538</v>
      </c>
      <c r="U14" s="27" t="n">
        <f aca="false">OpEx!U9</f>
        <v>-779829.358853251</v>
      </c>
      <c r="V14" s="27" t="n">
        <f aca="false">OpEx!V9</f>
        <v>-799325.092824583</v>
      </c>
      <c r="W14" s="27" t="n">
        <f aca="false">OpEx!W9</f>
        <v>-819308.220145197</v>
      </c>
      <c r="X14" s="27" t="n">
        <f aca="false">OpEx!X9</f>
        <v>-839790.925648827</v>
      </c>
      <c r="Y14" s="27" t="n">
        <f aca="false">OpEx!Y9</f>
        <v>-860785.698790048</v>
      </c>
      <c r="Z14" s="27" t="n">
        <f aca="false">OpEx!Z9</f>
        <v>-882305.341259799</v>
      </c>
      <c r="AA14" s="27" t="n">
        <f aca="false">OpEx!AA9</f>
        <v>-904362.974791294</v>
      </c>
    </row>
    <row r="15" customFormat="false" ht="15" hidden="false" customHeight="false" outlineLevel="0" collapsed="false">
      <c r="A15" s="5"/>
      <c r="B15" s="26" t="s">
        <v>130</v>
      </c>
      <c r="C15" s="27" t="n">
        <f aca="false">OpEx!C10</f>
        <v>-250000</v>
      </c>
      <c r="D15" s="27" t="n">
        <f aca="false">OpEx!D10</f>
        <v>-256250</v>
      </c>
      <c r="E15" s="27" t="n">
        <f aca="false">OpEx!E10</f>
        <v>-262656.25</v>
      </c>
      <c r="F15" s="27" t="n">
        <f aca="false">OpEx!F10</f>
        <v>-269222.65625</v>
      </c>
      <c r="G15" s="27" t="n">
        <f aca="false">OpEx!G10</f>
        <v>-275953.22265625</v>
      </c>
      <c r="H15" s="27" t="n">
        <f aca="false">OpEx!H10</f>
        <v>-282852.053222656</v>
      </c>
      <c r="I15" s="27" t="n">
        <f aca="false">OpEx!I10</f>
        <v>-289923.354553223</v>
      </c>
      <c r="J15" s="27" t="n">
        <f aca="false">OpEx!J10</f>
        <v>-297171.438417053</v>
      </c>
      <c r="K15" s="27" t="n">
        <f aca="false">OpEx!K10</f>
        <v>-304600.724377479</v>
      </c>
      <c r="L15" s="27" t="n">
        <f aca="false">OpEx!L10</f>
        <v>-312215.742486916</v>
      </c>
      <c r="M15" s="27" t="n">
        <f aca="false">OpEx!M10</f>
        <v>-320021.136049089</v>
      </c>
      <c r="N15" s="27" t="n">
        <f aca="false">OpEx!N10</f>
        <v>-328021.664450316</v>
      </c>
      <c r="O15" s="27" t="n">
        <f aca="false">OpEx!O10</f>
        <v>-336222.206061574</v>
      </c>
      <c r="P15" s="27" t="n">
        <f aca="false">OpEx!P10</f>
        <v>-344627.761213114</v>
      </c>
      <c r="Q15" s="27" t="n">
        <f aca="false">OpEx!Q10</f>
        <v>-353243.455243441</v>
      </c>
      <c r="R15" s="27" t="n">
        <f aca="false">OpEx!R10</f>
        <v>-362074.541624527</v>
      </c>
      <c r="S15" s="27" t="n">
        <f aca="false">OpEx!S10</f>
        <v>-371126.405165141</v>
      </c>
      <c r="T15" s="27" t="n">
        <f aca="false">OpEx!T10</f>
        <v>-380404.565294269</v>
      </c>
      <c r="U15" s="27" t="n">
        <f aca="false">OpEx!U10</f>
        <v>-389914.679426626</v>
      </c>
      <c r="V15" s="27" t="n">
        <f aca="false">OpEx!V10</f>
        <v>-399662.546412291</v>
      </c>
      <c r="W15" s="27" t="n">
        <f aca="false">OpEx!W10</f>
        <v>-409654.110072599</v>
      </c>
      <c r="X15" s="27" t="n">
        <f aca="false">OpEx!X10</f>
        <v>-419895.462824414</v>
      </c>
      <c r="Y15" s="27" t="n">
        <f aca="false">OpEx!Y10</f>
        <v>-430392.849395024</v>
      </c>
      <c r="Z15" s="27" t="n">
        <f aca="false">OpEx!Z10</f>
        <v>-441152.670629899</v>
      </c>
      <c r="AA15" s="27" t="n">
        <f aca="false">OpEx!AA10</f>
        <v>-452181.487395647</v>
      </c>
    </row>
    <row r="16" customFormat="false" ht="15" hidden="false" customHeight="false" outlineLevel="0" collapsed="false">
      <c r="A16" s="5"/>
      <c r="B16" s="26" t="s">
        <v>131</v>
      </c>
      <c r="C16" s="27" t="n">
        <f aca="false">SUM(C12:C15)</f>
        <v>-2300000</v>
      </c>
      <c r="D16" s="27" t="n">
        <f aca="false">SUM(D12:D15)</f>
        <v>-2357500</v>
      </c>
      <c r="E16" s="27" t="n">
        <f aca="false">SUM(E12:E15)</f>
        <v>-2416437.5</v>
      </c>
      <c r="F16" s="27" t="n">
        <f aca="false">SUM(F12:F15)</f>
        <v>-2476848.4375</v>
      </c>
      <c r="G16" s="27" t="n">
        <f aca="false">SUM(G12:G15)</f>
        <v>-2538769.6484375</v>
      </c>
      <c r="H16" s="27" t="n">
        <f aca="false">SUM(H12:H15)</f>
        <v>-2602238.88964844</v>
      </c>
      <c r="I16" s="27" t="n">
        <f aca="false">SUM(I12:I15)</f>
        <v>-2667294.86188965</v>
      </c>
      <c r="J16" s="27" t="n">
        <f aca="false">SUM(J12:J15)</f>
        <v>-2733977.23343689</v>
      </c>
      <c r="K16" s="27" t="n">
        <f aca="false">SUM(K12:K15)</f>
        <v>-2802326.66427281</v>
      </c>
      <c r="L16" s="27" t="n">
        <f aca="false">SUM(L12:L15)</f>
        <v>-2872384.83087963</v>
      </c>
      <c r="M16" s="27" t="n">
        <f aca="false">SUM(M12:M15)</f>
        <v>-2944194.45165162</v>
      </c>
      <c r="N16" s="27" t="n">
        <f aca="false">SUM(N12:N15)</f>
        <v>-3017799.31294291</v>
      </c>
      <c r="O16" s="27" t="n">
        <f aca="false">SUM(O12:O15)</f>
        <v>-3093244.29576648</v>
      </c>
      <c r="P16" s="27" t="n">
        <f aca="false">SUM(P12:P15)</f>
        <v>-3170575.40316064</v>
      </c>
      <c r="Q16" s="27" t="n">
        <f aca="false">SUM(Q12:Q15)</f>
        <v>-3249839.78823966</v>
      </c>
      <c r="R16" s="27" t="n">
        <f aca="false">SUM(R12:R15)</f>
        <v>-3331085.78294565</v>
      </c>
      <c r="S16" s="27" t="n">
        <f aca="false">SUM(S12:S15)</f>
        <v>-3414362.92751929</v>
      </c>
      <c r="T16" s="27" t="n">
        <f aca="false">SUM(T12:T15)</f>
        <v>-3499722.00070728</v>
      </c>
      <c r="U16" s="27" t="n">
        <f aca="false">SUM(U12:U15)</f>
        <v>-3587215.05072496</v>
      </c>
      <c r="V16" s="27" t="n">
        <f aca="false">SUM(V12:V15)</f>
        <v>-3676895.42699308</v>
      </c>
      <c r="W16" s="27" t="n">
        <f aca="false">SUM(W12:W15)</f>
        <v>-3768817.81266791</v>
      </c>
      <c r="X16" s="27" t="n">
        <f aca="false">SUM(X12:X15)</f>
        <v>-3863038.2579846</v>
      </c>
      <c r="Y16" s="27" t="n">
        <f aca="false">SUM(Y12:Y15)</f>
        <v>-3959614.21443422</v>
      </c>
      <c r="Z16" s="27" t="n">
        <f aca="false">SUM(Z12:Z15)</f>
        <v>-4058604.56979507</v>
      </c>
      <c r="AA16" s="27" t="n">
        <f aca="false">SUM(AA12:AA15)</f>
        <v>-4160069.68403995</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customFormat="false" ht="15" hidden="false" customHeight="false" outlineLevel="0" collapsed="false">
      <c r="A18" s="5"/>
      <c r="B18" s="29" t="s">
        <v>157</v>
      </c>
      <c r="C18" s="32" t="n">
        <f aca="false">C9+C16</f>
        <v>9090330.16</v>
      </c>
      <c r="D18" s="32" t="n">
        <f aca="false">D9+D16</f>
        <v>9130424.57978</v>
      </c>
      <c r="E18" s="32" t="n">
        <f aca="false">E9+E16</f>
        <v>9170127.39721161</v>
      </c>
      <c r="F18" s="32" t="n">
        <f aca="false">F9+F16</f>
        <v>9209412.66896383</v>
      </c>
      <c r="G18" s="32" t="n">
        <f aca="false">G9+G16</f>
        <v>9248253.65439215</v>
      </c>
      <c r="H18" s="32" t="n">
        <f aca="false">H9+H16</f>
        <v>9286622.79407155</v>
      </c>
      <c r="I18" s="32" t="n">
        <f aca="false">I9+I16</f>
        <v>9324491.68777795</v>
      </c>
      <c r="J18" s="32" t="n">
        <f aca="false">J9+J16</f>
        <v>9361831.07190417</v>
      </c>
      <c r="K18" s="32" t="n">
        <f aca="false">K9+K16</f>
        <v>9398610.79629593</v>
      </c>
      <c r="L18" s="32" t="n">
        <f aca="false">L9+L16</f>
        <v>9434799.80049344</v>
      </c>
      <c r="M18" s="32" t="n">
        <f aca="false">M9+M16</f>
        <v>9470366.08936347</v>
      </c>
      <c r="N18" s="32" t="n">
        <f aca="false">N9+N16</f>
        <v>9505276.70810653</v>
      </c>
      <c r="O18" s="32" t="n">
        <f aca="false">O9+O16</f>
        <v>9539497.71662332</v>
      </c>
      <c r="P18" s="32" t="n">
        <f aca="false">P9+P16</f>
        <v>9572994.16322441</v>
      </c>
      <c r="Q18" s="32" t="n">
        <f aca="false">Q9+Q16</f>
        <v>9605730.05766644</v>
      </c>
      <c r="R18" s="32" t="n">
        <f aca="false">R9+R16</f>
        <v>9637668.34349787</v>
      </c>
      <c r="S18" s="32" t="n">
        <f aca="false">S9+S16</f>
        <v>9668770.86969689</v>
      </c>
      <c r="T18" s="32" t="n">
        <f aca="false">T9+T16</f>
        <v>9698998.36158366</v>
      </c>
      <c r="U18" s="32" t="n">
        <f aca="false">U9+U16</f>
        <v>9728310.39098841</v>
      </c>
      <c r="V18" s="32" t="n">
        <f aca="false">V9+V16</f>
        <v>9756665.34565685</v>
      </c>
      <c r="W18" s="32" t="n">
        <f aca="false">W9+W16</f>
        <v>9784020.3978735</v>
      </c>
      <c r="X18" s="32" t="n">
        <f aca="false">X9+X16</f>
        <v>9810331.47228323</v>
      </c>
      <c r="Y18" s="32" t="n">
        <f aca="false">Y9+Y16</f>
        <v>9835553.21289089</v>
      </c>
      <c r="Z18" s="32" t="n">
        <f aca="false">Z9+Z16</f>
        <v>9859638.94921819</v>
      </c>
      <c r="AA18" s="32" t="n">
        <f aca="false">AA9+AA16</f>
        <v>9882540.66159661</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7" t="s">
        <v>158</v>
      </c>
      <c r="C20" s="5"/>
      <c r="D20" s="5"/>
      <c r="E20" s="5"/>
      <c r="F20" s="5"/>
      <c r="G20" s="5"/>
      <c r="H20" s="5"/>
      <c r="I20" s="5"/>
      <c r="J20" s="5"/>
      <c r="K20" s="5"/>
      <c r="L20" s="5"/>
      <c r="M20" s="5"/>
      <c r="N20" s="5"/>
      <c r="O20" s="5"/>
      <c r="P20" s="5"/>
      <c r="Q20" s="5"/>
      <c r="R20" s="5"/>
      <c r="S20" s="5"/>
      <c r="T20" s="5"/>
      <c r="U20" s="5"/>
      <c r="V20" s="5"/>
      <c r="W20" s="5"/>
      <c r="X20" s="5"/>
      <c r="Y20" s="5"/>
      <c r="Z20" s="5"/>
      <c r="AA20" s="5"/>
    </row>
    <row r="21" customFormat="false" ht="15" hidden="false" customHeight="false" outlineLevel="0" collapsed="false">
      <c r="A21" s="5"/>
      <c r="B21" s="26" t="s">
        <v>133</v>
      </c>
      <c r="C21" s="27" t="n">
        <f aca="false">OpEx!C14</f>
        <v>-150000</v>
      </c>
      <c r="D21" s="27" t="n">
        <f aca="false">OpEx!D14</f>
        <v>-153750</v>
      </c>
      <c r="E21" s="27" t="n">
        <f aca="false">OpEx!E14</f>
        <v>-157593.75</v>
      </c>
      <c r="F21" s="27" t="n">
        <f aca="false">OpEx!F14</f>
        <v>-161533.59375</v>
      </c>
      <c r="G21" s="27" t="n">
        <f aca="false">OpEx!G14</f>
        <v>-165571.93359375</v>
      </c>
      <c r="H21" s="27" t="n">
        <f aca="false">OpEx!H14</f>
        <v>-169711.231933594</v>
      </c>
      <c r="I21" s="27" t="n">
        <f aca="false">OpEx!I14</f>
        <v>-173954.012731934</v>
      </c>
      <c r="J21" s="27" t="n">
        <f aca="false">OpEx!J14</f>
        <v>-178302.863050232</v>
      </c>
      <c r="K21" s="27" t="n">
        <f aca="false">OpEx!K14</f>
        <v>-182760.434626488</v>
      </c>
      <c r="L21" s="27" t="n">
        <f aca="false">OpEx!L14</f>
        <v>-187329.44549215</v>
      </c>
      <c r="M21" s="27" t="n">
        <f aca="false">OpEx!M14</f>
        <v>-192012.681629454</v>
      </c>
      <c r="N21" s="27" t="n">
        <f aca="false">OpEx!N14</f>
        <v>-196812.99867019</v>
      </c>
      <c r="O21" s="27" t="n">
        <f aca="false">OpEx!O14</f>
        <v>-201733.323636945</v>
      </c>
      <c r="P21" s="27" t="n">
        <f aca="false">OpEx!P14</f>
        <v>-206776.656727868</v>
      </c>
      <c r="Q21" s="27" t="n">
        <f aca="false">OpEx!Q14</f>
        <v>-211946.073146065</v>
      </c>
      <c r="R21" s="27" t="n">
        <f aca="false">OpEx!R14</f>
        <v>-217244.724974716</v>
      </c>
      <c r="S21" s="27" t="n">
        <f aca="false">OpEx!S14</f>
        <v>-222675.843099084</v>
      </c>
      <c r="T21" s="27" t="n">
        <f aca="false">OpEx!T14</f>
        <v>-228242.739176561</v>
      </c>
      <c r="U21" s="27" t="n">
        <f aca="false">OpEx!U14</f>
        <v>-233948.807655975</v>
      </c>
      <c r="V21" s="27" t="n">
        <f aca="false">OpEx!V14</f>
        <v>-239797.527847375</v>
      </c>
      <c r="W21" s="27" t="n">
        <f aca="false">OpEx!W14</f>
        <v>-245792.466043559</v>
      </c>
      <c r="X21" s="27" t="n">
        <f aca="false">OpEx!X14</f>
        <v>-251937.277694648</v>
      </c>
      <c r="Y21" s="27" t="n">
        <f aca="false">OpEx!Y14</f>
        <v>-258235.709637014</v>
      </c>
      <c r="Z21" s="27" t="n">
        <f aca="false">OpEx!Z14</f>
        <v>-264691.60237794</v>
      </c>
      <c r="AA21" s="27" t="n">
        <f aca="false">OpEx!AA14</f>
        <v>-271308.892437388</v>
      </c>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7" t="s">
        <v>159</v>
      </c>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26" t="s">
        <v>160</v>
      </c>
      <c r="C24" s="27" t="n">
        <f aca="false">Depreciation_Tax!C25</f>
        <v>-0</v>
      </c>
      <c r="D24" s="27" t="n">
        <f aca="false">Depreciation_Tax!D25</f>
        <v>-0</v>
      </c>
      <c r="E24" s="27" t="n">
        <f aca="false">Depreciation_Tax!E25</f>
        <v>-0</v>
      </c>
      <c r="F24" s="27" t="n">
        <f aca="false">Depreciation_Tax!F25</f>
        <v>-0</v>
      </c>
      <c r="G24" s="27" t="n">
        <f aca="false">Depreciation_Tax!G25</f>
        <v>-0</v>
      </c>
      <c r="H24" s="27" t="n">
        <f aca="false">Depreciation_Tax!H25</f>
        <v>-111702.38529172</v>
      </c>
      <c r="I24" s="27" t="n">
        <f aca="false">Depreciation_Tax!I25</f>
        <v>-377233.567764453</v>
      </c>
      <c r="J24" s="27" t="n">
        <f aca="false">Depreciation_Tax!J25</f>
        <v>-388145.215739017</v>
      </c>
      <c r="K24" s="27" t="n">
        <f aca="false">Depreciation_Tax!K25</f>
        <v>-399027.761407388</v>
      </c>
      <c r="L24" s="27" t="n">
        <f aca="false">Depreciation_Tax!L25</f>
        <v>-409879.589625659</v>
      </c>
      <c r="M24" s="27" t="n">
        <f aca="false">Depreciation_Tax!M25</f>
        <v>-420699.0366469</v>
      </c>
      <c r="N24" s="27" t="n">
        <f aca="false">Depreciation_Tax!N25</f>
        <v>-431484.388821539</v>
      </c>
      <c r="O24" s="27" t="n">
        <f aca="false">Depreciation_Tax!O25</f>
        <v>-442233.881264413</v>
      </c>
      <c r="P24" s="27" t="n">
        <f aca="false">Depreciation_Tax!P25</f>
        <v>-1691934.38837308</v>
      </c>
      <c r="Q24" s="27" t="n">
        <f aca="false">Depreciation_Tax!Q25</f>
        <v>-2318089.81499327</v>
      </c>
      <c r="R24" s="27" t="n">
        <f aca="false">Depreciation_Tax!R25</f>
        <v>-2371243.76930945</v>
      </c>
      <c r="S24" s="27" t="n">
        <f aca="false">Depreciation_Tax!S25</f>
        <v>-2424180.42612119</v>
      </c>
      <c r="T24" s="27" t="n">
        <f aca="false">Depreciation_Tax!T25</f>
        <v>-2476889.57401175</v>
      </c>
      <c r="U24" s="27" t="n">
        <f aca="false">Depreciation_Tax!U25</f>
        <v>-2529360.70165699</v>
      </c>
      <c r="V24" s="27" t="n">
        <f aca="false">Depreciation_Tax!V25</f>
        <v>-2536732.98987078</v>
      </c>
      <c r="W24" s="27" t="n">
        <f aca="false">Depreciation_Tax!W25</f>
        <v>-2543845.30344711</v>
      </c>
      <c r="X24" s="27" t="n">
        <f aca="false">Depreciation_Tax!X25</f>
        <v>-2550686.18279364</v>
      </c>
      <c r="Y24" s="27" t="n">
        <f aca="false">Depreciation_Tax!Y25</f>
        <v>-2557243.83535163</v>
      </c>
      <c r="Z24" s="27" t="n">
        <f aca="false">Depreciation_Tax!Z25</f>
        <v>-2563506.12679673</v>
      </c>
      <c r="AA24" s="27" t="n">
        <f aca="false">Depreciation_Tax!AA25</f>
        <v>-2569460.57201512</v>
      </c>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29" t="s">
        <v>161</v>
      </c>
      <c r="C26" s="32" t="n">
        <f aca="false">C18+C21</f>
        <v>8940330.16</v>
      </c>
      <c r="D26" s="32" t="n">
        <f aca="false">D18+D21</f>
        <v>8976674.57978</v>
      </c>
      <c r="E26" s="32" t="n">
        <f aca="false">E18+E21</f>
        <v>9012533.64721161</v>
      </c>
      <c r="F26" s="32" t="n">
        <f aca="false">F18+F21</f>
        <v>9047879.07521383</v>
      </c>
      <c r="G26" s="32" t="n">
        <f aca="false">G18+G21</f>
        <v>9082681.7207984</v>
      </c>
      <c r="H26" s="32" t="n">
        <f aca="false">H18+H21</f>
        <v>9116911.56213795</v>
      </c>
      <c r="I26" s="32" t="n">
        <f aca="false">I18+I21</f>
        <v>9150537.67504601</v>
      </c>
      <c r="J26" s="32" t="n">
        <f aca="false">J18+J21</f>
        <v>9183528.20885394</v>
      </c>
      <c r="K26" s="32" t="n">
        <f aca="false">K18+K21</f>
        <v>9215850.36166945</v>
      </c>
      <c r="L26" s="32" t="n">
        <f aca="false">L18+L21</f>
        <v>9247470.35500129</v>
      </c>
      <c r="M26" s="32" t="n">
        <f aca="false">M18+M21</f>
        <v>9278353.40773402</v>
      </c>
      <c r="N26" s="32" t="n">
        <f aca="false">N18+N21</f>
        <v>9308463.70943634</v>
      </c>
      <c r="O26" s="32" t="n">
        <f aca="false">O18+O21</f>
        <v>9337764.39298637</v>
      </c>
      <c r="P26" s="32" t="n">
        <f aca="false">P18+P21</f>
        <v>9366217.50649654</v>
      </c>
      <c r="Q26" s="32" t="n">
        <f aca="false">Q18+Q21</f>
        <v>9393783.98452037</v>
      </c>
      <c r="R26" s="32" t="n">
        <f aca="false">R18+R21</f>
        <v>9420423.61852315</v>
      </c>
      <c r="S26" s="32" t="n">
        <f aca="false">S18+S21</f>
        <v>9446095.02659781</v>
      </c>
      <c r="T26" s="32" t="n">
        <f aca="false">T18+T21</f>
        <v>9470755.6224071</v>
      </c>
      <c r="U26" s="32" t="n">
        <f aca="false">U18+U21</f>
        <v>9494361.58333243</v>
      </c>
      <c r="V26" s="32" t="n">
        <f aca="false">V18+V21</f>
        <v>9516867.81780947</v>
      </c>
      <c r="W26" s="32" t="n">
        <f aca="false">W18+W21</f>
        <v>9538227.93182994</v>
      </c>
      <c r="X26" s="32" t="n">
        <f aca="false">X18+X21</f>
        <v>9558394.19458858</v>
      </c>
      <c r="Y26" s="32" t="n">
        <f aca="false">Y18+Y21</f>
        <v>9577317.50325388</v>
      </c>
      <c r="Z26" s="32" t="n">
        <f aca="false">Z18+Z21</f>
        <v>9594947.34684025</v>
      </c>
      <c r="AA26" s="32" t="n">
        <f aca="false">AA18+AA21</f>
        <v>9611231.76915922</v>
      </c>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7" t="s">
        <v>162</v>
      </c>
      <c r="C28" s="5"/>
      <c r="D28" s="5"/>
      <c r="E28" s="5"/>
      <c r="F28" s="5"/>
      <c r="G28" s="5"/>
      <c r="H28" s="5"/>
      <c r="I28" s="5"/>
      <c r="J28" s="5"/>
      <c r="K28" s="5"/>
      <c r="L28" s="5"/>
      <c r="M28" s="5"/>
      <c r="N28" s="5"/>
      <c r="O28" s="5"/>
      <c r="P28" s="5"/>
      <c r="Q28" s="5"/>
      <c r="R28" s="5"/>
      <c r="S28" s="5"/>
      <c r="T28" s="5"/>
      <c r="U28" s="5"/>
      <c r="V28" s="5"/>
      <c r="W28" s="5"/>
      <c r="X28" s="5"/>
      <c r="Y28" s="5"/>
      <c r="Z28" s="5"/>
      <c r="AA28" s="5"/>
    </row>
    <row r="29" customFormat="false" ht="15" hidden="false" customHeight="false" outlineLevel="0" collapsed="false">
      <c r="A29" s="5"/>
      <c r="B29" s="26" t="s">
        <v>136</v>
      </c>
      <c r="C29" s="27" t="n">
        <f aca="false">Debt_Schedule!C8</f>
        <v>-2875000</v>
      </c>
      <c r="D29" s="27" t="n">
        <f aca="false">Debt_Schedule!D8</f>
        <v>-2875000</v>
      </c>
      <c r="E29" s="27" t="n">
        <f aca="false">Debt_Schedule!E8</f>
        <v>-2875000</v>
      </c>
      <c r="F29" s="27" t="n">
        <f aca="false">Debt_Schedule!F8</f>
        <v>-2875000</v>
      </c>
      <c r="G29" s="27" t="n">
        <f aca="false">Debt_Schedule!G8</f>
        <v>-2875000</v>
      </c>
      <c r="H29" s="27" t="n">
        <f aca="false">Debt_Schedule!H8</f>
        <v>-2875000</v>
      </c>
      <c r="I29" s="27" t="n">
        <f aca="false">Debt_Schedule!I8</f>
        <v>-2875000</v>
      </c>
      <c r="J29" s="27" t="n">
        <f aca="false">Debt_Schedule!J8</f>
        <v>-2875000</v>
      </c>
      <c r="K29" s="27" t="n">
        <f aca="false">Debt_Schedule!K8</f>
        <v>-2875000</v>
      </c>
      <c r="L29" s="27" t="n">
        <f aca="false">Debt_Schedule!L8</f>
        <v>-2875000</v>
      </c>
      <c r="M29" s="27" t="n">
        <f aca="false">Debt_Schedule!M8</f>
        <v>-2875000</v>
      </c>
      <c r="N29" s="27" t="n">
        <f aca="false">Debt_Schedule!N8</f>
        <v>-2875000</v>
      </c>
      <c r="O29" s="27" t="n">
        <f aca="false">Debt_Schedule!O8</f>
        <v>-2875000</v>
      </c>
      <c r="P29" s="27" t="n">
        <f aca="false">Debt_Schedule!P8</f>
        <v>-2875000</v>
      </c>
      <c r="Q29" s="27" t="n">
        <f aca="false">Debt_Schedule!Q8</f>
        <v>-2875000</v>
      </c>
      <c r="R29" s="27" t="n">
        <f aca="false">Debt_Schedule!R8</f>
        <v>-2875000</v>
      </c>
      <c r="S29" s="27" t="n">
        <f aca="false">Debt_Schedule!S8</f>
        <v>-2875000</v>
      </c>
      <c r="T29" s="27" t="n">
        <f aca="false">Debt_Schedule!T8</f>
        <v>-2875000</v>
      </c>
      <c r="U29" s="27" t="n">
        <f aca="false">Debt_Schedule!U8</f>
        <v>0</v>
      </c>
      <c r="V29" s="27" t="n">
        <f aca="false">Debt_Schedule!V8</f>
        <v>0</v>
      </c>
      <c r="W29" s="27" t="n">
        <f aca="false">Debt_Schedule!W8</f>
        <v>0</v>
      </c>
      <c r="X29" s="27" t="n">
        <f aca="false">Debt_Schedule!X8</f>
        <v>0</v>
      </c>
      <c r="Y29" s="27" t="n">
        <f aca="false">Debt_Schedule!Y8</f>
        <v>0</v>
      </c>
      <c r="Z29" s="27" t="n">
        <f aca="false">Debt_Schedule!Z8</f>
        <v>0</v>
      </c>
      <c r="AA29" s="27" t="n">
        <f aca="false">Debt_Schedule!AA8</f>
        <v>0</v>
      </c>
    </row>
    <row r="30" customFormat="false" ht="15" hidden="false" customHeight="false" outlineLevel="0" collapsed="false">
      <c r="A30" s="5"/>
      <c r="B30" s="26" t="s">
        <v>137</v>
      </c>
      <c r="C30" s="27" t="n">
        <f aca="false">Debt_Schedule!C9</f>
        <v>-3105000</v>
      </c>
      <c r="D30" s="27" t="n">
        <f aca="false">Debt_Schedule!D9</f>
        <v>-2932500</v>
      </c>
      <c r="E30" s="27" t="n">
        <f aca="false">Debt_Schedule!E9</f>
        <v>-2760000</v>
      </c>
      <c r="F30" s="27" t="n">
        <f aca="false">Debt_Schedule!F9</f>
        <v>-2587500</v>
      </c>
      <c r="G30" s="27" t="n">
        <f aca="false">Debt_Schedule!G9</f>
        <v>-2415000</v>
      </c>
      <c r="H30" s="27" t="n">
        <f aca="false">Debt_Schedule!H9</f>
        <v>-2242500</v>
      </c>
      <c r="I30" s="27" t="n">
        <f aca="false">Debt_Schedule!I9</f>
        <v>-2070000</v>
      </c>
      <c r="J30" s="27" t="n">
        <f aca="false">Debt_Schedule!J9</f>
        <v>-1897500</v>
      </c>
      <c r="K30" s="27" t="n">
        <f aca="false">Debt_Schedule!K9</f>
        <v>-1725000</v>
      </c>
      <c r="L30" s="27" t="n">
        <f aca="false">Debt_Schedule!L9</f>
        <v>-1552500</v>
      </c>
      <c r="M30" s="27" t="n">
        <f aca="false">Debt_Schedule!M9</f>
        <v>-1380000</v>
      </c>
      <c r="N30" s="27" t="n">
        <f aca="false">Debt_Schedule!N9</f>
        <v>-1207500</v>
      </c>
      <c r="O30" s="27" t="n">
        <f aca="false">Debt_Schedule!O9</f>
        <v>-1035000</v>
      </c>
      <c r="P30" s="27" t="n">
        <f aca="false">Debt_Schedule!P9</f>
        <v>-862500</v>
      </c>
      <c r="Q30" s="27" t="n">
        <f aca="false">Debt_Schedule!Q9</f>
        <v>-690000</v>
      </c>
      <c r="R30" s="27" t="n">
        <f aca="false">Debt_Schedule!R9</f>
        <v>-517500</v>
      </c>
      <c r="S30" s="27" t="n">
        <f aca="false">Debt_Schedule!S9</f>
        <v>-345000</v>
      </c>
      <c r="T30" s="27" t="n">
        <f aca="false">Debt_Schedule!T9</f>
        <v>-172500</v>
      </c>
      <c r="U30" s="27" t="n">
        <f aca="false">Debt_Schedule!U9</f>
        <v>0</v>
      </c>
      <c r="V30" s="27" t="n">
        <f aca="false">Debt_Schedule!V9</f>
        <v>0</v>
      </c>
      <c r="W30" s="27" t="n">
        <f aca="false">Debt_Schedule!W9</f>
        <v>0</v>
      </c>
      <c r="X30" s="27" t="n">
        <f aca="false">Debt_Schedule!X9</f>
        <v>0</v>
      </c>
      <c r="Y30" s="27" t="n">
        <f aca="false">Debt_Schedule!Y9</f>
        <v>0</v>
      </c>
      <c r="Z30" s="27" t="n">
        <f aca="false">Debt_Schedule!Z9</f>
        <v>0</v>
      </c>
      <c r="AA30" s="27" t="n">
        <f aca="false">Debt_Schedule!AA9</f>
        <v>0</v>
      </c>
    </row>
    <row r="31" customFormat="false" ht="15" hidden="false" customHeight="false" outlineLevel="0" collapsed="false">
      <c r="A31" s="5"/>
      <c r="B31" s="26" t="s">
        <v>141</v>
      </c>
      <c r="C31" s="27" t="n">
        <f aca="false">C29+C30</f>
        <v>-5980000</v>
      </c>
      <c r="D31" s="27" t="n">
        <f aca="false">D29+D30</f>
        <v>-5807500</v>
      </c>
      <c r="E31" s="27" t="n">
        <f aca="false">E29+E30</f>
        <v>-5635000</v>
      </c>
      <c r="F31" s="27" t="n">
        <f aca="false">F29+F30</f>
        <v>-5462500</v>
      </c>
      <c r="G31" s="27" t="n">
        <f aca="false">G29+G30</f>
        <v>-5290000</v>
      </c>
      <c r="H31" s="27" t="n">
        <f aca="false">H29+H30</f>
        <v>-5117500</v>
      </c>
      <c r="I31" s="27" t="n">
        <f aca="false">I29+I30</f>
        <v>-4945000</v>
      </c>
      <c r="J31" s="27" t="n">
        <f aca="false">J29+J30</f>
        <v>-4772500</v>
      </c>
      <c r="K31" s="27" t="n">
        <f aca="false">K29+K30</f>
        <v>-4600000</v>
      </c>
      <c r="L31" s="27" t="n">
        <f aca="false">L29+L30</f>
        <v>-4427500</v>
      </c>
      <c r="M31" s="27" t="n">
        <f aca="false">M29+M30</f>
        <v>-4255000</v>
      </c>
      <c r="N31" s="27" t="n">
        <f aca="false">N29+N30</f>
        <v>-4082500</v>
      </c>
      <c r="O31" s="27" t="n">
        <f aca="false">O29+O30</f>
        <v>-3910000</v>
      </c>
      <c r="P31" s="27" t="n">
        <f aca="false">P29+P30</f>
        <v>-3737500</v>
      </c>
      <c r="Q31" s="27" t="n">
        <f aca="false">Q29+Q30</f>
        <v>-3565000</v>
      </c>
      <c r="R31" s="27" t="n">
        <f aca="false">R29+R30</f>
        <v>-3392500</v>
      </c>
      <c r="S31" s="27" t="n">
        <f aca="false">S29+S30</f>
        <v>-3220000</v>
      </c>
      <c r="T31" s="27" t="n">
        <f aca="false">T29+T30</f>
        <v>-3047500</v>
      </c>
      <c r="U31" s="27" t="n">
        <f aca="false">U29+U30</f>
        <v>0</v>
      </c>
      <c r="V31" s="27" t="n">
        <f aca="false">V29+V30</f>
        <v>0</v>
      </c>
      <c r="W31" s="27" t="n">
        <f aca="false">W29+W30</f>
        <v>0</v>
      </c>
      <c r="X31" s="27" t="n">
        <f aca="false">X29+X30</f>
        <v>0</v>
      </c>
      <c r="Y31" s="27" t="n">
        <f aca="false">Y29+Y30</f>
        <v>0</v>
      </c>
      <c r="Z31" s="27" t="n">
        <f aca="false">Z29+Z30</f>
        <v>0</v>
      </c>
      <c r="AA31" s="27" t="n">
        <f aca="false">AA29+AA30</f>
        <v>0</v>
      </c>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customFormat="false" ht="15" hidden="false" customHeight="false" outlineLevel="0" collapsed="false">
      <c r="A33" s="5"/>
      <c r="B33" s="29" t="s">
        <v>163</v>
      </c>
      <c r="C33" s="32" t="n">
        <f aca="false">C26+C31</f>
        <v>2960330.16</v>
      </c>
      <c r="D33" s="32" t="n">
        <f aca="false">D26+D31</f>
        <v>3169174.57978</v>
      </c>
      <c r="E33" s="32" t="n">
        <f aca="false">E26+E31</f>
        <v>3377533.64721161</v>
      </c>
      <c r="F33" s="32" t="n">
        <f aca="false">F26+F31</f>
        <v>3585379.07521383</v>
      </c>
      <c r="G33" s="32" t="n">
        <f aca="false">G26+G31</f>
        <v>3792681.7207984</v>
      </c>
      <c r="H33" s="32" t="n">
        <f aca="false">H26+H31</f>
        <v>3999411.56213795</v>
      </c>
      <c r="I33" s="32" t="n">
        <f aca="false">I26+I31</f>
        <v>4205537.67504601</v>
      </c>
      <c r="J33" s="32" t="n">
        <f aca="false">J26+J31</f>
        <v>4411028.20885394</v>
      </c>
      <c r="K33" s="32" t="n">
        <f aca="false">K26+K31</f>
        <v>4615850.36166945</v>
      </c>
      <c r="L33" s="32" t="n">
        <f aca="false">L26+L31</f>
        <v>4819970.35500129</v>
      </c>
      <c r="M33" s="32" t="n">
        <f aca="false">M26+M31</f>
        <v>5023353.40773402</v>
      </c>
      <c r="N33" s="32" t="n">
        <f aca="false">N26+N31</f>
        <v>5225963.70943634</v>
      </c>
      <c r="O33" s="32" t="n">
        <f aca="false">O26+O31</f>
        <v>5427764.39298637</v>
      </c>
      <c r="P33" s="32" t="n">
        <f aca="false">P26+P31</f>
        <v>5628717.50649654</v>
      </c>
      <c r="Q33" s="32" t="n">
        <f aca="false">Q26+Q31</f>
        <v>5828783.98452037</v>
      </c>
      <c r="R33" s="32" t="n">
        <f aca="false">R26+R31</f>
        <v>6027923.61852315</v>
      </c>
      <c r="S33" s="32" t="n">
        <f aca="false">S26+S31</f>
        <v>6226095.02659781</v>
      </c>
      <c r="T33" s="32" t="n">
        <f aca="false">T26+T31</f>
        <v>6423255.6224071</v>
      </c>
      <c r="U33" s="32" t="n">
        <f aca="false">U26+U31</f>
        <v>9494361.58333243</v>
      </c>
      <c r="V33" s="32" t="n">
        <f aca="false">V26+V31</f>
        <v>9516867.81780947</v>
      </c>
      <c r="W33" s="32" t="n">
        <f aca="false">W26+W31</f>
        <v>9538227.93182994</v>
      </c>
      <c r="X33" s="32" t="n">
        <f aca="false">X26+X31</f>
        <v>9558394.19458858</v>
      </c>
      <c r="Y33" s="32" t="n">
        <f aca="false">Y26+Y31</f>
        <v>9577317.50325388</v>
      </c>
      <c r="Z33" s="32" t="n">
        <f aca="false">Z26+Z31</f>
        <v>9594947.34684025</v>
      </c>
      <c r="AA33" s="32" t="n">
        <f aca="false">AA26+AA31</f>
        <v>9611231.76915922</v>
      </c>
    </row>
    <row r="34" customFormat="false" ht="15" hidden="false" customHeight="false" outlineLevel="0" collapsed="false">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customFormat="false" ht="15" hidden="false" customHeight="false" outlineLevel="0" collapsed="false">
      <c r="A35" s="5"/>
      <c r="B35" s="7" t="s">
        <v>164</v>
      </c>
      <c r="C35" s="5"/>
      <c r="D35" s="5"/>
      <c r="E35" s="5"/>
      <c r="F35" s="5"/>
      <c r="G35" s="5"/>
      <c r="H35" s="5"/>
      <c r="I35" s="5"/>
      <c r="J35" s="5"/>
      <c r="K35" s="5"/>
      <c r="L35" s="5"/>
      <c r="M35" s="5"/>
      <c r="N35" s="5"/>
      <c r="O35" s="5"/>
      <c r="P35" s="5"/>
      <c r="Q35" s="5"/>
      <c r="R35" s="5"/>
      <c r="S35" s="5"/>
      <c r="T35" s="5"/>
      <c r="U35" s="5"/>
      <c r="V35" s="5"/>
      <c r="W35" s="5"/>
      <c r="X35" s="5"/>
      <c r="Y35" s="5"/>
      <c r="Z35" s="5"/>
      <c r="AA35" s="5"/>
    </row>
    <row r="36" customFormat="false" ht="15" hidden="false" customHeight="false" outlineLevel="0" collapsed="false">
      <c r="A36" s="5"/>
      <c r="B36" s="26" t="s">
        <v>165</v>
      </c>
      <c r="C36" s="27" t="n">
        <f aca="false">MAX(0,C33)*Flip_Analysis!C9</f>
        <v>1036115.556</v>
      </c>
      <c r="D36" s="27" t="n">
        <f aca="false">MAX(0,D33)*Flip_Analysis!D9</f>
        <v>1109211.102923</v>
      </c>
      <c r="E36" s="27" t="n">
        <f aca="false">MAX(0,E33)*Flip_Analysis!E9</f>
        <v>1182136.77652406</v>
      </c>
      <c r="F36" s="27" t="n">
        <f aca="false">MAX(0,F33)*Flip_Analysis!F9</f>
        <v>1254882.67632484</v>
      </c>
      <c r="G36" s="27" t="n">
        <f aca="false">MAX(0,G33)*Flip_Analysis!G9</f>
        <v>189634.08603992</v>
      </c>
      <c r="H36" s="27" t="n">
        <f aca="false">MAX(0,H33)*Flip_Analysis!H9</f>
        <v>199970.578106898</v>
      </c>
      <c r="I36" s="27" t="n">
        <f aca="false">MAX(0,I33)*Flip_Analysis!I9</f>
        <v>210276.883752301</v>
      </c>
      <c r="J36" s="27" t="n">
        <f aca="false">MAX(0,J33)*Flip_Analysis!J9</f>
        <v>220551.410442697</v>
      </c>
      <c r="K36" s="27" t="n">
        <f aca="false">MAX(0,K33)*Flip_Analysis!K9</f>
        <v>230792.518083472</v>
      </c>
      <c r="L36" s="27" t="n">
        <f aca="false">MAX(0,L33)*Flip_Analysis!L9</f>
        <v>240998.517750065</v>
      </c>
      <c r="M36" s="27" t="n">
        <f aca="false">MAX(0,M33)*Flip_Analysis!M9</f>
        <v>251167.670386701</v>
      </c>
      <c r="N36" s="27" t="n">
        <f aca="false">MAX(0,N33)*Flip_Analysis!N9</f>
        <v>261298.185471817</v>
      </c>
      <c r="O36" s="27" t="n">
        <f aca="false">MAX(0,O33)*Flip_Analysis!O9</f>
        <v>271388.219649319</v>
      </c>
      <c r="P36" s="27" t="n">
        <f aca="false">MAX(0,P33)*Flip_Analysis!P9</f>
        <v>281435.875324827</v>
      </c>
      <c r="Q36" s="27" t="n">
        <f aca="false">MAX(0,Q33)*Flip_Analysis!Q9</f>
        <v>291439.199226019</v>
      </c>
      <c r="R36" s="27" t="n">
        <f aca="false">MAX(0,R33)*Flip_Analysis!R9</f>
        <v>301396.180926158</v>
      </c>
      <c r="S36" s="27" t="n">
        <f aca="false">MAX(0,S33)*Flip_Analysis!S9</f>
        <v>311304.75132989</v>
      </c>
      <c r="T36" s="27" t="n">
        <f aca="false">MAX(0,T33)*Flip_Analysis!T9</f>
        <v>321162.781120355</v>
      </c>
      <c r="U36" s="27" t="n">
        <f aca="false">MAX(0,U33)*Flip_Analysis!U9</f>
        <v>474718.079166622</v>
      </c>
      <c r="V36" s="27" t="n">
        <f aca="false">MAX(0,V33)*Flip_Analysis!V9</f>
        <v>475843.390890474</v>
      </c>
      <c r="W36" s="27" t="n">
        <f aca="false">MAX(0,W33)*Flip_Analysis!W9</f>
        <v>476911.396591497</v>
      </c>
      <c r="X36" s="27" t="n">
        <f aca="false">MAX(0,X33)*Flip_Analysis!X9</f>
        <v>477919.709729429</v>
      </c>
      <c r="Y36" s="27" t="n">
        <f aca="false">MAX(0,Y33)*Flip_Analysis!Y9</f>
        <v>478865.875162694</v>
      </c>
      <c r="Z36" s="27" t="n">
        <f aca="false">MAX(0,Z33)*Flip_Analysis!Z9</f>
        <v>479747.367342012</v>
      </c>
      <c r="AA36" s="27" t="n">
        <f aca="false">MAX(0,AA33)*Flip_Analysis!AA9</f>
        <v>480561.588457961</v>
      </c>
    </row>
    <row r="37" customFormat="false" ht="15" hidden="false" customHeight="false" outlineLevel="0" collapsed="false">
      <c r="A37" s="5"/>
      <c r="B37" s="26" t="s">
        <v>166</v>
      </c>
      <c r="C37" s="27" t="n">
        <f aca="false">MAX(0,C33)-C36</f>
        <v>1924214.604</v>
      </c>
      <c r="D37" s="27" t="n">
        <f aca="false">MAX(0,D33)-D36</f>
        <v>2059963.476857</v>
      </c>
      <c r="E37" s="27" t="n">
        <f aca="false">MAX(0,E33)-E36</f>
        <v>2195396.87068754</v>
      </c>
      <c r="F37" s="27" t="n">
        <f aca="false">MAX(0,F33)-F36</f>
        <v>2330496.39888899</v>
      </c>
      <c r="G37" s="27" t="n">
        <f aca="false">MAX(0,G33)-G36</f>
        <v>3603047.63475848</v>
      </c>
      <c r="H37" s="27" t="n">
        <f aca="false">MAX(0,H33)-H36</f>
        <v>3799440.98403105</v>
      </c>
      <c r="I37" s="27" t="n">
        <f aca="false">MAX(0,I33)-I36</f>
        <v>3995260.79129371</v>
      </c>
      <c r="J37" s="27" t="n">
        <f aca="false">MAX(0,J33)-J36</f>
        <v>4190476.79841124</v>
      </c>
      <c r="K37" s="27" t="n">
        <f aca="false">MAX(0,K33)-K36</f>
        <v>4385057.84358597</v>
      </c>
      <c r="L37" s="27" t="n">
        <f aca="false">MAX(0,L33)-L36</f>
        <v>4578971.83725123</v>
      </c>
      <c r="M37" s="27" t="n">
        <f aca="false">MAX(0,M33)-M36</f>
        <v>4772185.73734732</v>
      </c>
      <c r="N37" s="27" t="n">
        <f aca="false">MAX(0,N33)-N36</f>
        <v>4964665.52396452</v>
      </c>
      <c r="O37" s="27" t="n">
        <f aca="false">MAX(0,O33)-O36</f>
        <v>5156376.17333705</v>
      </c>
      <c r="P37" s="27" t="n">
        <f aca="false">MAX(0,P33)-P36</f>
        <v>5347281.63117171</v>
      </c>
      <c r="Q37" s="27" t="n">
        <f aca="false">MAX(0,Q33)-Q36</f>
        <v>5537344.78529435</v>
      </c>
      <c r="R37" s="27" t="n">
        <f aca="false">MAX(0,R33)-R36</f>
        <v>5726527.437597</v>
      </c>
      <c r="S37" s="27" t="n">
        <f aca="false">MAX(0,S33)-S36</f>
        <v>5914790.27526792</v>
      </c>
      <c r="T37" s="27" t="n">
        <f aca="false">MAX(0,T33)-T36</f>
        <v>6102092.84128674</v>
      </c>
      <c r="U37" s="27" t="n">
        <f aca="false">MAX(0,U33)-U36</f>
        <v>9019643.50416581</v>
      </c>
      <c r="V37" s="27" t="n">
        <f aca="false">MAX(0,V33)-V36</f>
        <v>9041024.426919</v>
      </c>
      <c r="W37" s="27" t="n">
        <f aca="false">MAX(0,W33)-W36</f>
        <v>9061316.53523844</v>
      </c>
      <c r="X37" s="27" t="n">
        <f aca="false">MAX(0,X33)-X36</f>
        <v>9080474.48485915</v>
      </c>
      <c r="Y37" s="27" t="n">
        <f aca="false">MAX(0,Y33)-Y36</f>
        <v>9098451.62809118</v>
      </c>
      <c r="Z37" s="27" t="n">
        <f aca="false">MAX(0,Z33)-Z36</f>
        <v>9115199.97949824</v>
      </c>
      <c r="AA37" s="27" t="n">
        <f aca="false">MAX(0,AA33)-AA36</f>
        <v>9130670.18070126</v>
      </c>
    </row>
    <row r="38" customFormat="false" ht="15" hidden="false" customHeight="false" outlineLevel="0" collapsed="false">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customFormat="false" ht="15" hidden="false" customHeight="false" outlineLevel="0" collapsed="false">
      <c r="A39" s="5"/>
      <c r="B39" s="26" t="s">
        <v>139</v>
      </c>
      <c r="C39" s="34" t="n">
        <f aca="false">Debt_Schedule!C15</f>
        <v>1.49503848829431</v>
      </c>
      <c r="D39" s="34" t="n">
        <f aca="false">Debt_Schedule!D15</f>
        <v>1.54570375889453</v>
      </c>
      <c r="E39" s="34" t="n">
        <f aca="false">Debt_Schedule!E15</f>
        <v>1.59938485309878</v>
      </c>
      <c r="F39" s="34" t="n">
        <f aca="false">Debt_Schedule!F15</f>
        <v>1.65636230209864</v>
      </c>
      <c r="G39" s="34" t="n">
        <f aca="false">Debt_Schedule!G15</f>
        <v>1.7169530663135</v>
      </c>
      <c r="H39" s="34" t="n">
        <f aca="false">Debt_Schedule!H15</f>
        <v>1.78151667066692</v>
      </c>
      <c r="I39" s="34" t="n">
        <f aca="false">Debt_Schedule!I15</f>
        <v>1.85046262387179</v>
      </c>
      <c r="J39" s="34" t="n">
        <f aca="false">Debt_Schedule!J15</f>
        <v>1.92425944659066</v>
      </c>
      <c r="K39" s="34" t="n">
        <f aca="false">Debt_Schedule!K15</f>
        <v>2.00344573079771</v>
      </c>
      <c r="L39" s="34" t="n">
        <f aca="false">Debt_Schedule!L15</f>
        <v>2.08864378430295</v>
      </c>
      <c r="M39" s="34" t="n">
        <f aca="false">Debt_Schedule!M15</f>
        <v>2.18057659406205</v>
      </c>
      <c r="N39" s="34" t="n">
        <f aca="false">Debt_Schedule!N15</f>
        <v>2.2800890898803</v>
      </c>
      <c r="O39" s="34" t="n">
        <f aca="false">Debt_Schedule!O15</f>
        <v>2.3881750365694</v>
      </c>
      <c r="P39" s="34" t="n">
        <f aca="false">Debt_Schedule!P15</f>
        <v>2.50601137297566</v>
      </c>
      <c r="Q39" s="34" t="n">
        <f aca="false">Debt_Schedule!Q15</f>
        <v>2.63500252020207</v>
      </c>
      <c r="R39" s="34" t="n">
        <f aca="false">Debt_Schedule!R15</f>
        <v>2.77683820737602</v>
      </c>
      <c r="S39" s="34" t="n">
        <f aca="false">Debt_Schedule!S15</f>
        <v>2.93356988403659</v>
      </c>
      <c r="T39" s="34" t="n">
        <f aca="false">Debt_Schedule!T15</f>
        <v>3.10771308364466</v>
      </c>
      <c r="U39" s="34" t="str">
        <f aca="false">Debt_Schedule!U15</f>
        <v/>
      </c>
      <c r="V39" s="34" t="str">
        <f aca="false">Debt_Schedule!V15</f>
        <v/>
      </c>
      <c r="W39" s="34" t="str">
        <f aca="false">Debt_Schedule!W15</f>
        <v/>
      </c>
      <c r="X39" s="34" t="str">
        <f aca="false">Debt_Schedule!X15</f>
        <v/>
      </c>
      <c r="Y39" s="34" t="str">
        <f aca="false">Debt_Schedule!Y15</f>
        <v/>
      </c>
      <c r="Z39" s="34" t="str">
        <f aca="false">Debt_Schedule!Z15</f>
        <v/>
      </c>
      <c r="AA39" s="34" t="str">
        <f aca="false">Debt_Schedule!AA15</f>
        <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2026-05-15T21:36:17Z</dcterms:created>
  <dc:creator>openpyxl</dc:creator>
  <dc:description/>
  <dc:language>en-GB</dc:language>
  <cp:lastModifiedBy/>
  <dcterms:modified xsi:type="dcterms:W3CDTF">2026-05-15T21:36:17Z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