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Disclaimer" sheetId="2" state="visible" r:id="rId4"/>
    <sheet name="Assumptions" sheetId="3" state="visible" r:id="rId5"/>
    <sheet name="Tower_Portfolio" sheetId="4" state="visible" r:id="rId6"/>
    <sheet name="Revenue_Build" sheetId="5" state="visible" r:id="rId7"/>
    <sheet name="Site_Costs" sheetId="6" state="visible" r:id="rId8"/>
    <sheet name="OpEx_SGA" sheetId="7" state="visible" r:id="rId9"/>
    <sheet name="Capex_Depreciation" sheetId="8" state="visible" r:id="rId10"/>
    <sheet name="Debt_Schedule" sheetId="9" state="visible" r:id="rId11"/>
    <sheet name="Income_Statement" sheetId="10" state="visible" r:id="rId12"/>
    <sheet name="Cash_Flow" sheetId="11" state="visible" r:id="rId13"/>
    <sheet name="Balance_Sheet" sheetId="12" state="visible" r:id="rId14"/>
    <sheet name="Returns_Metrics" sheetId="13" state="visible" r:id="rId15"/>
  </sheets>
  <definedNames>
    <definedName function="false" hidden="false" name="Acquisitions_Yr" vbProcedure="false">Assumptions!$C$10</definedName>
    <definedName function="false" hidden="false" name="Amendment_Fee" vbProcedure="false">Assumptions!$C$21</definedName>
    <definedName function="false" hidden="false" name="Amendment_Rate" vbProcedure="false">Assumptions!$C$20</definedName>
    <definedName function="false" hidden="false" name="Anchor_Pct" vbProcedure="false">Assumptions!$C$18</definedName>
    <definedName function="false" hidden="false" name="Anchor_Rate" vbProcedure="false">Assumptions!$C$15</definedName>
    <definedName function="false" hidden="false" name="Augment_Cost" vbProcedure="false">Assumptions!$C$38</definedName>
    <definedName function="false" hidden="false" name="Base_Year" vbProcedure="false">Assumptions!$C$7</definedName>
    <definedName function="false" hidden="false" name="BS_AP" vbProcedure="false">Balance_Sheet!$C$16:$G$16</definedName>
    <definedName function="false" hidden="false" name="BS_AR" vbProcedure="false">Balance_Sheet!$C$10:$G$10</definedName>
    <definedName function="false" hidden="false" name="BS_Cash" vbProcedure="false">Balance_Sheet!$C$9:$G$9</definedName>
    <definedName function="false" hidden="false" name="BS_Check" vbProcedure="false">Balance_Sheet!$C$27:$G$27</definedName>
    <definedName function="false" hidden="false" name="BS_Debt" vbProcedure="false">Balance_Sheet!$C$18:$G$18</definedName>
    <definedName function="false" hidden="false" name="BS_PPE" vbProcedure="false">Balance_Sheet!$C$12:$G$12</definedName>
    <definedName function="false" hidden="false" name="BS_Ret_Earn" vbProcedure="false">Balance_Sheet!$C$23:$G$23</definedName>
    <definedName function="false" hidden="false" name="BS_Share_Cap" vbProcedure="false">Balance_Sheet!$C$22:$G$22</definedName>
    <definedName function="false" hidden="false" name="BS_Total_Assets" vbProcedure="false">Balance_Sheet!$C$13:$G$13</definedName>
    <definedName function="false" hidden="false" name="BS_Total_Equity" vbProcedure="false">Balance_Sheet!$C$24:$G$24</definedName>
    <definedName function="false" hidden="false" name="BS_Total_Liab" vbProcedure="false">Balance_Sheet!$C$19:$G$19</definedName>
    <definedName function="false" hidden="false" name="BS_Year_Num" vbProcedure="false">Balance_Sheet!$C$6:$G$6</definedName>
    <definedName function="false" hidden="false" name="Build_Cost" vbProcedure="false">Assumptions!$C$36</definedName>
    <definedName function="false" hidden="false" name="Build_Fee" vbProcedure="false">Assumptions!$C$23</definedName>
    <definedName function="false" hidden="false" name="CD_Closing_PPE" vbProcedure="false">Capex_Depreciation!$C$19:$G$19</definedName>
    <definedName function="false" hidden="false" name="CD_Dep_Charge" vbProcedure="false">Capex_Depreciation!$C$18:$G$18</definedName>
    <definedName function="false" hidden="false" name="CD_EBIT" vbProcedure="false">Capex_Depreciation!$C$24:$G$24</definedName>
    <definedName function="false" hidden="false" name="CD_EBITDA_Ref" vbProcedure="false">Capex_Depreciation!$C$22:$G$22</definedName>
    <definedName function="false" hidden="false" name="CD_Maint_Capex" vbProcedure="false">Capex_Depreciation!$C$12:$G$12</definedName>
    <definedName function="false" hidden="false" name="CD_New_Build" vbProcedure="false">Capex_Depreciation!$C$9:$G$9</definedName>
    <definedName function="false" hidden="false" name="CD_Opening_PPE" vbProcedure="false">Capex_Depreciation!$C$16:$G$16</definedName>
    <definedName function="false" hidden="false" name="CD_Total_Capex" vbProcedure="false">Capex_Depreciation!$C$13:$G$13</definedName>
    <definedName function="false" hidden="false" name="CD_Year_Num" vbProcedure="false">Capex_Depreciation!$C$6:$G$6</definedName>
    <definedName function="false" hidden="false" name="CF_Capex" vbProcedure="false">Cash_Flow!$C$18:$G$18</definedName>
    <definedName function="false" hidden="false" name="CF_CFF" vbProcedure="false">Cash_Flow!$C$25:$G$25</definedName>
    <definedName function="false" hidden="false" name="CF_CFI" vbProcedure="false">Cash_Flow!$C$19:$G$19</definedName>
    <definedName function="false" hidden="false" name="CF_CFO" vbProcedure="false">Cash_Flow!$C$15:$G$15</definedName>
    <definedName function="false" hidden="false" name="CF_Close_Cash" vbProcedure="false">Cash_Flow!$C$30:$G$30</definedName>
    <definedName function="false" hidden="false" name="CF_Deprec" vbProcedure="false">Cash_Flow!$C$10:$G$10</definedName>
    <definedName function="false" hidden="false" name="CF_Dividends" vbProcedure="false">Cash_Flow!$C$24:$G$24</definedName>
    <definedName function="false" hidden="false" name="CF_Drawdown" vbProcedure="false">Cash_Flow!$C$22:$G$22</definedName>
    <definedName function="false" hidden="false" name="CF_Net_Income" vbProcedure="false">Cash_Flow!$C$9:$G$9</definedName>
    <definedName function="false" hidden="false" name="CF_Open_Cash" vbProcedure="false">Cash_Flow!$C$28:$G$28</definedName>
    <definedName function="false" hidden="false" name="CF_Repayment" vbProcedure="false">Cash_Flow!$C$23:$G$23</definedName>
    <definedName function="false" hidden="false" name="CF_Year_Num" vbProcedure="false">Cash_Flow!$C$6:$G$6</definedName>
    <definedName function="false" hidden="false" name="Colo_Discount" vbProcedure="false">Assumptions!$C$16</definedName>
    <definedName function="false" hidden="false" name="Decommissions_Yr" vbProcedure="false">Assumptions!$C$11</definedName>
    <definedName function="false" hidden="false" name="Dividend_Payout" vbProcedure="false">Assumptions!$C$51</definedName>
    <definedName function="false" hidden="false" name="Drawdown_Pct" vbProcedure="false">Assumptions!$C$47</definedName>
    <definedName function="false" hidden="false" name="DS_Closing" vbProcedure="false">Debt_Schedule!$C$12:$G$12</definedName>
    <definedName function="false" hidden="false" name="DS_Drawdown" vbProcedure="false">Debt_Schedule!$C$10:$G$10</definedName>
    <definedName function="false" hidden="false" name="DS_DSCR" vbProcedure="false">Debt_Schedule!$C$19:$G$19</definedName>
    <definedName function="false" hidden="false" name="DS_Interest" vbProcedure="false">Debt_Schedule!$C$15:$G$15</definedName>
    <definedName function="false" hidden="false" name="DS_Opening" vbProcedure="false">Debt_Schedule!$C$9:$G$9</definedName>
    <definedName function="false" hidden="false" name="DS_Repayment" vbProcedure="false">Debt_Schedule!$C$11:$G$11</definedName>
    <definedName function="false" hidden="false" name="DS_Total_DS" vbProcedure="false">Debt_Schedule!$C$16:$G$16</definedName>
    <definedName function="false" hidden="false" name="DS_Year_Num" vbProcedure="false">Debt_Schedule!$C$6:$G$6</definedName>
    <definedName function="false" hidden="false" name="Equip_Life" vbProcedure="false">Assumptions!$C$42</definedName>
    <definedName function="false" hidden="false" name="Ground_Lease_Esc" vbProcedure="false">Assumptions!$C$27</definedName>
    <definedName function="false" hidden="false" name="Ground_Lease_Tower" vbProcedure="false">Assumptions!$C$26</definedName>
    <definedName function="false" hidden="false" name="Install_Fee" vbProcedure="false">Assumptions!$C$24</definedName>
    <definedName function="false" hidden="false" name="Insurance_Pct" vbProcedure="false">Assumptions!$C$33</definedName>
    <definedName function="false" hidden="false" name="Interest_Rate" vbProcedure="false">Assumptions!$C$45</definedName>
    <definedName function="false" hidden="false" name="IS_Depreciation" vbProcedure="false">Income_Statement!$C$23:$G$23</definedName>
    <definedName function="false" hidden="false" name="IS_EBIT" vbProcedure="false">Income_Statement!$C$24:$G$24</definedName>
    <definedName function="false" hidden="false" name="IS_EBITDA" vbProcedure="false">Income_Statement!$C$20:$G$20</definedName>
    <definedName function="false" hidden="false" name="IS_Interest" vbProcedure="false">Income_Statement!$C$27:$G$27</definedName>
    <definedName function="false" hidden="false" name="IS_Net_Income" vbProcedure="false">Income_Statement!$C$30:$G$30</definedName>
    <definedName function="false" hidden="false" name="IS_Tax" vbProcedure="false">Income_Statement!$C$29:$G$29</definedName>
    <definedName function="false" hidden="false" name="IS_TCF" vbProcedure="false">Income_Statement!$C$16:$G$16</definedName>
    <definedName function="false" hidden="false" name="IS_Total_Rev" vbProcedure="false">Income_Statement!$C$12:$G$12</definedName>
    <definedName function="false" hidden="false" name="IS_Year_Num" vbProcedure="false">Income_Statement!$C$6:$G$6</definedName>
    <definedName function="false" hidden="false" name="Land_Cost" vbProcedure="false">Assumptions!$C$37</definedName>
    <definedName function="false" hidden="false" name="Lease_Escalator" vbProcedure="false">Assumptions!$C$17</definedName>
    <definedName function="false" hidden="false" name="Maint_Capex_Pct" vbProcedure="false">Assumptions!$C$39</definedName>
    <definedName function="false" hidden="false" name="Maint_Tower" vbProcedure="false">Assumptions!$C$30</definedName>
    <definedName function="false" hidden="false" name="New_Builds_Yr" vbProcedure="false">Assumptions!$C$9</definedName>
    <definedName function="false" hidden="false" name="Opening_Cash_Bal" vbProcedure="false">Assumptions!$C$52</definedName>
    <definedName function="false" hidden="false" name="Opening_Debt" vbProcedure="false">Assumptions!$C$44</definedName>
    <definedName function="false" hidden="false" name="Opening_RE" vbProcedure="false">Assumptions!$C$53</definedName>
    <definedName function="false" hidden="false" name="Opening_Towers" vbProcedure="false">Assumptions!$C$8</definedName>
    <definedName function="false" hidden="false" name="OX_EBITDA" vbProcedure="false">OpEx_SGA!$C$18:$G$18</definedName>
    <definedName function="false" hidden="false" name="OX_TCF" vbProcedure="false">OpEx_SGA!$C$9:$G$9</definedName>
    <definedName function="false" hidden="false" name="OX_Total_Corp" vbProcedure="false">OpEx_SGA!$C$15:$G$15</definedName>
    <definedName function="false" hidden="false" name="OX_Year_Num" vbProcedure="false">OpEx_SGA!$C$6:$G$6</definedName>
    <definedName function="false" hidden="false" name="Prof_Fees_Pct" vbProcedure="false">Assumptions!$C$34</definedName>
    <definedName function="false" hidden="false" name="Prop_Tax_Tower" vbProcedure="false">Assumptions!$C$28</definedName>
    <definedName function="false" hidden="false" name="RB_Amend_Rev" vbProcedure="false">Revenue_Build!$C$16:$G$16</definedName>
    <definedName function="false" hidden="false" name="RB_Lease_Rev" vbProcedure="false">Revenue_Build!$C$13:$G$13</definedName>
    <definedName function="false" hidden="false" name="RB_Svc_Rev" vbProcedure="false">Revenue_Build!$C$21:$G$21</definedName>
    <definedName function="false" hidden="false" name="RB_Total_Rev" vbProcedure="false">Revenue_Build!$C$23:$G$23</definedName>
    <definedName function="false" hidden="false" name="RB_Year_Num" vbProcedure="false">Revenue_Build!$C$6:$G$6</definedName>
    <definedName function="false" hidden="false" name="Repayment_Pct" vbProcedure="false">Assumptions!$C$46</definedName>
    <definedName function="false" hidden="false" name="SC_TCF" vbProcedure="false">Site_Costs!$C$19:$G$19</definedName>
    <definedName function="false" hidden="false" name="SC_Total_Rev" vbProcedure="false">Site_Costs!$C$9:$G$9</definedName>
    <definedName function="false" hidden="false" name="SC_Total_Site" vbProcedure="false">Site_Costs!$C$16:$G$16</definedName>
    <definedName function="false" hidden="false" name="SC_Year_Num" vbProcedure="false">Site_Costs!$C$6:$G$6</definedName>
    <definedName function="false" hidden="false" name="SGA_Pct" vbProcedure="false">Assumptions!$C$32</definedName>
    <definedName function="false" hidden="false" name="Share_Capital" vbProcedure="false">Assumptions!$C$50</definedName>
    <definedName function="false" hidden="false" name="Tax_Rate" vbProcedure="false">Assumptions!$C$49</definedName>
    <definedName function="false" hidden="false" name="Tenancy_Growth" vbProcedure="false">Assumptions!$C$13</definedName>
    <definedName function="false" hidden="false" name="Tenancy_Ratio" vbProcedure="false">Assumptions!$C$12</definedName>
    <definedName function="false" hidden="false" name="Tower_Life" vbProcedure="false">Assumptions!$C$41</definedName>
    <definedName function="false" hidden="false" name="TP_Acquisitions" vbProcedure="false">Tower_Portfolio!$C$11:$G$11</definedName>
    <definedName function="false" hidden="false" name="TP_Anchor_Ten" vbProcedure="false">Tower_Portfolio!$C$19:$G$19</definedName>
    <definedName function="false" hidden="false" name="TP_Avg_Towers" vbProcedure="false">Tower_Portfolio!$C$14:$G$14</definedName>
    <definedName function="false" hidden="false" name="TP_Closing" vbProcedure="false">Tower_Portfolio!$C$13:$G$13</definedName>
    <definedName function="false" hidden="false" name="TP_Colo_Ten" vbProcedure="false">Tower_Portfolio!$C$20:$G$20</definedName>
    <definedName function="false" hidden="false" name="TP_New_Builds" vbProcedure="false">Tower_Portfolio!$C$10:$G$10</definedName>
    <definedName function="false" hidden="false" name="TP_Opening" vbProcedure="false">Tower_Portfolio!$C$9:$G$9</definedName>
    <definedName function="false" hidden="false" name="TP_Tenancy_R" vbProcedure="false">Tower_Portfolio!$C$17:$G$17</definedName>
    <definedName function="false" hidden="false" name="TP_Total_Ten" vbProcedure="false">Tower_Portfolio!$C$18:$G$18</definedName>
    <definedName function="false" hidden="false" name="TP_Year_Num" vbProcedure="false">Tower_Portfolio!$C$6:$G$6</definedName>
    <definedName function="false" hidden="false" name="Utility_Tower" vbProcedure="false">Assumptions!$C$29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<sst xmlns="http://schemas.openxmlformats.org/spreadsheetml/2006/main" count="376" uniqueCount="286">
  <si>
    <t xml:space="preserve">Telecom Tower Company</t>
  </si>
  <si>
    <t xml:space="preserve">FINAMODEL.com</t>
  </si>
  <si>
    <t xml:space="preserve">Financial model</t>
  </si>
  <si>
    <t xml:space="preserve">Model Structure</t>
  </si>
  <si>
    <t xml:space="preserve">Cover</t>
  </si>
  <si>
    <t xml:space="preserve">Title and navigation</t>
  </si>
  <si>
    <t xml:space="preserve">Assumptions</t>
  </si>
  <si>
    <t xml:space="preserve">Model parameters</t>
  </si>
  <si>
    <t xml:space="preserve">Tower_Portfolio</t>
  </si>
  <si>
    <t xml:space="preserve">Tower count rollforward</t>
  </si>
  <si>
    <t xml:space="preserve">Revenue_Build</t>
  </si>
  <si>
    <t xml:space="preserve">Revenue projections</t>
  </si>
  <si>
    <t xml:space="preserve">Site_Costs</t>
  </si>
  <si>
    <t xml:space="preserve">Site-level costs &amp; TCF</t>
  </si>
  <si>
    <t xml:space="preserve">OpEx_SGA</t>
  </si>
  <si>
    <t xml:space="preserve">Corporate costs &amp; EBITDA</t>
  </si>
  <si>
    <t xml:space="preserve">Capex_Depreciation</t>
  </si>
  <si>
    <t xml:space="preserve">Capex &amp; D&amp;A</t>
  </si>
  <si>
    <t xml:space="preserve">Debt_Schedule</t>
  </si>
  <si>
    <t xml:space="preserve">Debt &amp; interest</t>
  </si>
  <si>
    <t xml:space="preserve">Income_Statement</t>
  </si>
  <si>
    <t xml:space="preserve">P&amp;L summary</t>
  </si>
  <si>
    <t xml:space="preserve">Cash_Flow</t>
  </si>
  <si>
    <t xml:space="preserve">Cash flow statement</t>
  </si>
  <si>
    <t xml:space="preserve">Balance_Sheet</t>
  </si>
  <si>
    <t xml:space="preserve">Assets &amp; liabilities</t>
  </si>
  <si>
    <t xml:space="preserve">Returns_Metrics</t>
  </si>
  <si>
    <t xml:space="preserve">AFFO &amp; key ratios</t>
  </si>
  <si>
    <t xml:space="preserve">Tab Colour Legend</t>
  </si>
  <si>
    <t xml:space="preserve">Dark Blue</t>
  </si>
  <si>
    <t xml:space="preserve">Light Blue</t>
  </si>
  <si>
    <t xml:space="preserve">Assumptions / Inputs</t>
  </si>
  <si>
    <t xml:space="preserve">Green</t>
  </si>
  <si>
    <t xml:space="preserve">Revenue drivers</t>
  </si>
  <si>
    <t xml:space="preserve">Orange</t>
  </si>
  <si>
    <t xml:space="preserve">Cost &amp; capex schedules</t>
  </si>
  <si>
    <t xml:space="preserve">Red</t>
  </si>
  <si>
    <t xml:space="preserve">Debt / Risk</t>
  </si>
  <si>
    <t xml:space="preserve">Grey</t>
  </si>
  <si>
    <t xml:space="preserve">Summary / Output</t>
  </si>
  <si>
    <t xml:space="preserve">About this model</t>
  </si>
  <si>
    <t xml:space="preserve">Value a telecom tower portfolio using a lease-level DCF with tenant churn, escalation rates, and cap rate multiples. The model tracks individual lease contracts by tenant (anchor carriers, colocation tenants), applies 2â3% annual escalators, and incorporates churn assumptions (carriers may decommission sites). Site-level gross margin is calculated after ground lease expense (largest variable cost, 15â25% of revenue), property taxes, utilities, and maintenance.
The workbook builds a portfolio roll-forward (opening towers + new builds + acquisitions - decommissions), calculates blended lease rates, and projects site-level EBITDA before corporate SG&amp;A. Terminal value is based on a 6.5â7.5% cap rate exit multiple. Tower economics show high operating leverage: adding a second or third tenant increases revenue 60â80% but costs only 5â10%, driving EBITDA margins of 60â70% at maturity.
Key metrics: towers under management (target 2,000â20,000), tenancy ratio (1.5â2.0x in mature markets), per-tower revenue ($20â40k annually), and leverage (5â7x Net Debt/EBITDA). Comparable companies (American Tower, Crown Castle, SBA Communications) trade at 20â25x EV/EBITDA due to contracted revenue visibility and capital-light operations.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</si>
  <si>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</si>
  <si>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</si>
  <si>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</si>
  <si>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</si>
  <si>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</si>
  <si>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</si>
  <si>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</si>
  <si>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</si>
  <si>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</si>
  <si>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</si>
  <si>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</si>
  <si>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</si>
  <si>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</si>
  <si>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</si>
  <si>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</si>
  <si>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</si>
  <si>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</si>
  <si>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</si>
  <si>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</si>
  <si>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</si>
  <si>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</si>
  <si>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Input parameters</t>
  </si>
  <si>
    <t xml:space="preserve">Parameter</t>
  </si>
  <si>
    <t xml:space="preserve">Value</t>
  </si>
  <si>
    <t xml:space="preserve">Unit</t>
  </si>
  <si>
    <t xml:space="preserve">Notes</t>
  </si>
  <si>
    <t xml:space="preserve">Portfolio</t>
  </si>
  <si>
    <t xml:space="preserve">Base Year</t>
  </si>
  <si>
    <t xml:space="preserve">Year</t>
  </si>
  <si>
    <t xml:space="preserve">First projection year</t>
  </si>
  <si>
    <t xml:space="preserve">Opening Towers</t>
  </si>
  <si>
    <t xml:space="preserve">Towers</t>
  </si>
  <si>
    <t xml:space="preserve">Portfolio at start</t>
  </si>
  <si>
    <t xml:space="preserve">New Builds / Year</t>
  </si>
  <si>
    <t xml:space="preserve">Organic growth</t>
  </si>
  <si>
    <t xml:space="preserve">Acquisitions / Year</t>
  </si>
  <si>
    <t xml:space="preserve">Bolt-on purchases</t>
  </si>
  <si>
    <t xml:space="preserve">Decommissions / Year</t>
  </si>
  <si>
    <t xml:space="preserve">End-of-life removals</t>
  </si>
  <si>
    <t xml:space="preserve">Opening Tenancy Ratio</t>
  </si>
  <si>
    <t xml:space="preserve">x</t>
  </si>
  <si>
    <t xml:space="preserve">Tenants per tower</t>
  </si>
  <si>
    <t xml:space="preserve">Tenancy Growth / Year</t>
  </si>
  <si>
    <t xml:space="preserve">%/yr</t>
  </si>
  <si>
    <t xml:space="preserve">Annual tenancy ratio increase</t>
  </si>
  <si>
    <t xml:space="preserve">Lease Revenue</t>
  </si>
  <si>
    <t xml:space="preserve">Anchor Lease Rate</t>
  </si>
  <si>
    <t xml:space="preserve">$/mo</t>
  </si>
  <si>
    <t xml:space="preserve">Monthly per anchor tenant</t>
  </si>
  <si>
    <t xml:space="preserve">Colocation Discount</t>
  </si>
  <si>
    <t xml:space="preserve">%</t>
  </si>
  <si>
    <t xml:space="preserve">Discount vs anchor rate</t>
  </si>
  <si>
    <t xml:space="preserve">Lease Escalator</t>
  </si>
  <si>
    <t xml:space="preserve">Annual contractual increase</t>
  </si>
  <si>
    <t xml:space="preserve">Anchor % of Tenants</t>
  </si>
  <si>
    <t xml:space="preserve">Fraction that are anchor</t>
  </si>
  <si>
    <t xml:space="preserve">Amendment Revenue</t>
  </si>
  <si>
    <t xml:space="preserve">Amendment Rate</t>
  </si>
  <si>
    <t xml:space="preserve">% of tenants with amendments</t>
  </si>
  <si>
    <t xml:space="preserve">Amendment Fee</t>
  </si>
  <si>
    <t xml:space="preserve">Monthly increment per amendment</t>
  </si>
  <si>
    <t xml:space="preserve">Services Revenue</t>
  </si>
  <si>
    <t xml:space="preserve">New Build Fee</t>
  </si>
  <si>
    <t xml:space="preserve">$</t>
  </si>
  <si>
    <t xml:space="preserve">One-time site dev fee</t>
  </si>
  <si>
    <t xml:space="preserve">Install Fee</t>
  </si>
  <si>
    <t xml:space="preserve">Per new tenant install</t>
  </si>
  <si>
    <t xml:space="preserve">Site Costs</t>
  </si>
  <si>
    <t xml:space="preserve">Ground Lease / Tower</t>
  </si>
  <si>
    <t xml:space="preserve">Monthly ground rent per site</t>
  </si>
  <si>
    <t xml:space="preserve">Ground Lease Escalator</t>
  </si>
  <si>
    <t xml:space="preserve">Annual ground rent increase</t>
  </si>
  <si>
    <t xml:space="preserve">Property Tax / Tower</t>
  </si>
  <si>
    <t xml:space="preserve">Monthly property tax per site</t>
  </si>
  <si>
    <t xml:space="preserve">Utilities / Tower</t>
  </si>
  <si>
    <t xml:space="preserve">Monthly power per site</t>
  </si>
  <si>
    <t xml:space="preserve">Maintenance / Tower</t>
  </si>
  <si>
    <t xml:space="preserve">Monthly R&amp;M per site</t>
  </si>
  <si>
    <t xml:space="preserve">Corporate OpEx</t>
  </si>
  <si>
    <t xml:space="preserve">SG&amp;A (% Revenue)</t>
  </si>
  <si>
    <t xml:space="preserve">Corporate overhead</t>
  </si>
  <si>
    <t xml:space="preserve">Insurance (% Revenue)</t>
  </si>
  <si>
    <t xml:space="preserve">Property &amp; liability</t>
  </si>
  <si>
    <t xml:space="preserve">Prof Fees (% Revenue)</t>
  </si>
  <si>
    <t xml:space="preserve">Legal, audit, advisory</t>
  </si>
  <si>
    <t xml:space="preserve">Capital Expenditure</t>
  </si>
  <si>
    <t xml:space="preserve">New Build Cost</t>
  </si>
  <si>
    <t xml:space="preserve">Per tower construction</t>
  </si>
  <si>
    <t xml:space="preserve">Land Acquisition Cost</t>
  </si>
  <si>
    <t xml:space="preserve">Per site land purchase</t>
  </si>
  <si>
    <t xml:space="preserve">Augmentation Cost</t>
  </si>
  <si>
    <t xml:space="preserve">Per new colocation tenant</t>
  </si>
  <si>
    <t xml:space="preserve">Maint Capex (% Rev)</t>
  </si>
  <si>
    <t xml:space="preserve">Structural maintenance</t>
  </si>
  <si>
    <t xml:space="preserve">Depreciation</t>
  </si>
  <si>
    <t xml:space="preserve">Tower Useful Life</t>
  </si>
  <si>
    <t xml:space="preserve">Years</t>
  </si>
  <si>
    <t xml:space="preserve">Steel structure</t>
  </si>
  <si>
    <t xml:space="preserve">Equipment Life</t>
  </si>
  <si>
    <t xml:space="preserve">Electronics, generators</t>
  </si>
  <si>
    <t xml:space="preserve">Financing</t>
  </si>
  <si>
    <t xml:space="preserve">Opening Debt</t>
  </si>
  <si>
    <t xml:space="preserve">Existing debt balance</t>
  </si>
  <si>
    <t xml:space="preserve">Interest Rate</t>
  </si>
  <si>
    <t xml:space="preserve">Blended cost of debt</t>
  </si>
  <si>
    <t xml:space="preserve">Repayment (% Open)</t>
  </si>
  <si>
    <t xml:space="preserve">Annual principal paydown</t>
  </si>
  <si>
    <t xml:space="preserve">Drawdown (% Capex)</t>
  </si>
  <si>
    <t xml:space="preserve">Debt funding of capex</t>
  </si>
  <si>
    <t xml:space="preserve">Tax &amp; Equity</t>
  </si>
  <si>
    <t xml:space="preserve">Tax Rate</t>
  </si>
  <si>
    <t xml:space="preserve">Corporate income tax</t>
  </si>
  <si>
    <t xml:space="preserve">Share Capital</t>
  </si>
  <si>
    <t xml:space="preserve">Paid-in equity</t>
  </si>
  <si>
    <t xml:space="preserve">Dividend Payout</t>
  </si>
  <si>
    <t xml:space="preserve">% of net income</t>
  </si>
  <si>
    <t xml:space="preserve">Opening Cash</t>
  </si>
  <si>
    <t xml:space="preserve">Cash at model start</t>
  </si>
  <si>
    <t xml:space="preserve">Opening Ret Earnings</t>
  </si>
  <si>
    <t xml:space="preserve">Accumulated profits</t>
  </si>
  <si>
    <t xml:space="preserve">Tower Portfolio</t>
  </si>
  <si>
    <t xml:space="preserve">Tower rollforward</t>
  </si>
  <si>
    <t xml:space="preserve">Year Number</t>
  </si>
  <si>
    <t xml:space="preserve">Tower Count</t>
  </si>
  <si>
    <t xml:space="preserve">New Builds</t>
  </si>
  <si>
    <t xml:space="preserve">Acquisitions</t>
  </si>
  <si>
    <t xml:space="preserve">Decommissions</t>
  </si>
  <si>
    <t xml:space="preserve">Closing Towers</t>
  </si>
  <si>
    <t xml:space="preserve">Average Towers</t>
  </si>
  <si>
    <t xml:space="preserve">Tenancy</t>
  </si>
  <si>
    <t xml:space="preserve">Tenancy Ratio</t>
  </si>
  <si>
    <t xml:space="preserve">Total Tenancies</t>
  </si>
  <si>
    <t xml:space="preserve">Anchor Tenants</t>
  </si>
  <si>
    <t xml:space="preserve">Colocation Tenants</t>
  </si>
  <si>
    <t xml:space="preserve">Revenue Build</t>
  </si>
  <si>
    <t xml:space="preserve">Anchor Rate ($/mo)</t>
  </si>
  <si>
    <t xml:space="preserve">Colo Rate ($/mo)</t>
  </si>
  <si>
    <t xml:space="preserve">Anchor Revenue</t>
  </si>
  <si>
    <t xml:space="preserve">Colocation Revenue</t>
  </si>
  <si>
    <t xml:space="preserve">Total Lease Revenue</t>
  </si>
  <si>
    <t xml:space="preserve">Site Dev Fees</t>
  </si>
  <si>
    <t xml:space="preserve">Install Fees</t>
  </si>
  <si>
    <t xml:space="preserve">Total Services Rev</t>
  </si>
  <si>
    <t xml:space="preserve">TOTAL REVENUE</t>
  </si>
  <si>
    <t xml:space="preserve">Site-level expenses</t>
  </si>
  <si>
    <t xml:space="preserve">Revenue Reference</t>
  </si>
  <si>
    <t xml:space="preserve">Total Revenue</t>
  </si>
  <si>
    <t xml:space="preserve">Site-Level Costs</t>
  </si>
  <si>
    <t xml:space="preserve">Ground Lease</t>
  </si>
  <si>
    <t xml:space="preserve">Property Tax</t>
  </si>
  <si>
    <t xml:space="preserve">Utilities</t>
  </si>
  <si>
    <t xml:space="preserve">Maintenance</t>
  </si>
  <si>
    <t xml:space="preserve">TOTAL SITE COSTS</t>
  </si>
  <si>
    <t xml:space="preserve">Tower Cash Flow</t>
  </si>
  <si>
    <t xml:space="preserve">TOWER CASH FLOW</t>
  </si>
  <si>
    <t xml:space="preserve">TCF Margin</t>
  </si>
  <si>
    <t xml:space="preserve">SG&amp;A and EBITDA</t>
  </si>
  <si>
    <t xml:space="preserve">Tower Cash Flow Ref</t>
  </si>
  <si>
    <t xml:space="preserve">Corporate Costs</t>
  </si>
  <si>
    <t xml:space="preserve">SG&amp;A</t>
  </si>
  <si>
    <t xml:space="preserve">Insurance</t>
  </si>
  <si>
    <t xml:space="preserve">Professional Fees</t>
  </si>
  <si>
    <t xml:space="preserve">TOTAL CORPORATE COSTS</t>
  </si>
  <si>
    <t xml:space="preserve">EBITDA</t>
  </si>
  <si>
    <t xml:space="preserve">EBITDA Margin</t>
  </si>
  <si>
    <t xml:space="preserve">Capex &amp; Depreciation</t>
  </si>
  <si>
    <t xml:space="preserve">Investment schedule</t>
  </si>
  <si>
    <t xml:space="preserve">New Build Capex</t>
  </si>
  <si>
    <t xml:space="preserve">Land Acquisition</t>
  </si>
  <si>
    <t xml:space="preserve">Augmentation Capex</t>
  </si>
  <si>
    <t xml:space="preserve">Maintenance Capex</t>
  </si>
  <si>
    <t xml:space="preserve">TOTAL CAPEX</t>
  </si>
  <si>
    <t xml:space="preserve">PP&amp;E Schedule</t>
  </si>
  <si>
    <t xml:space="preserve">Opening Net PP&amp;E</t>
  </si>
  <si>
    <t xml:space="preserve">Additions (Capex)</t>
  </si>
  <si>
    <t xml:space="preserve">Closing Net PP&amp;E</t>
  </si>
  <si>
    <t xml:space="preserve">EBIT</t>
  </si>
  <si>
    <t xml:space="preserve">Debt Schedule</t>
  </si>
  <si>
    <t xml:space="preserve">Financing schedule</t>
  </si>
  <si>
    <t xml:space="preserve">Debt Balance Walk</t>
  </si>
  <si>
    <t xml:space="preserve">Opening Balance</t>
  </si>
  <si>
    <t xml:space="preserve">Drawdown</t>
  </si>
  <si>
    <t xml:space="preserve">Repayment</t>
  </si>
  <si>
    <t xml:space="preserve">Closing Balance</t>
  </si>
  <si>
    <t xml:space="preserve">Interest &amp; Debt Service</t>
  </si>
  <si>
    <t xml:space="preserve">Interest Expense</t>
  </si>
  <si>
    <t xml:space="preserve">TOTAL DEBT SERVICE</t>
  </si>
  <si>
    <t xml:space="preserve">Debt Metrics</t>
  </si>
  <si>
    <t xml:space="preserve">DSCR</t>
  </si>
  <si>
    <t xml:space="preserve">Net Debt / EBITDA</t>
  </si>
  <si>
    <t xml:space="preserve">Income Statement</t>
  </si>
  <si>
    <t xml:space="preserve">Profit &amp; loss</t>
  </si>
  <si>
    <t xml:space="preserve">Revenue</t>
  </si>
  <si>
    <t xml:space="preserve">Financing &amp; Tax</t>
  </si>
  <si>
    <t xml:space="preserve">EBT</t>
  </si>
  <si>
    <t xml:space="preserve">Tax</t>
  </si>
  <si>
    <t xml:space="preserve">NET INCOME</t>
  </si>
  <si>
    <t xml:space="preserve">Cash Flow Statement</t>
  </si>
  <si>
    <t xml:space="preserve">Indirect method</t>
  </si>
  <si>
    <t xml:space="preserve">Cash from Operations</t>
  </si>
  <si>
    <t xml:space="preserve">Net Income</t>
  </si>
  <si>
    <t xml:space="preserve">Add: Depreciation</t>
  </si>
  <si>
    <t xml:space="preserve">AR Level</t>
  </si>
  <si>
    <t xml:space="preserve">AP Level</t>
  </si>
  <si>
    <t xml:space="preserve">Change in AR</t>
  </si>
  <si>
    <t xml:space="preserve">Change in AP</t>
  </si>
  <si>
    <t xml:space="preserve">CASH FROM OPERATIONS</t>
  </si>
  <si>
    <t xml:space="preserve">Cash from Investing</t>
  </si>
  <si>
    <t xml:space="preserve">CASH FROM INVESTING</t>
  </si>
  <si>
    <t xml:space="preserve">Cash from Financing</t>
  </si>
  <si>
    <t xml:space="preserve">Debt Drawdown</t>
  </si>
  <si>
    <t xml:space="preserve">Debt Repayment</t>
  </si>
  <si>
    <t xml:space="preserve">Dividends</t>
  </si>
  <si>
    <t xml:space="preserve">CASH FROM FINANCING</t>
  </si>
  <si>
    <t xml:space="preserve">Cash Balance</t>
  </si>
  <si>
    <t xml:space="preserve">Net Cash Change</t>
  </si>
  <si>
    <t xml:space="preserve">CLOSING CASH</t>
  </si>
  <si>
    <t xml:space="preserve">Balance Sheet</t>
  </si>
  <si>
    <t xml:space="preserve">Assets</t>
  </si>
  <si>
    <t xml:space="preserve">Cash</t>
  </si>
  <si>
    <t xml:space="preserve">Accounts Receivable</t>
  </si>
  <si>
    <t xml:space="preserve">Total Current Assets</t>
  </si>
  <si>
    <t xml:space="preserve">Net PP&amp;E</t>
  </si>
  <si>
    <t xml:space="preserve">TOTAL ASSETS</t>
  </si>
  <si>
    <t xml:space="preserve">Liabilities</t>
  </si>
  <si>
    <t xml:space="preserve">Accounts Payable</t>
  </si>
  <si>
    <t xml:space="preserve">Total Current Liab</t>
  </si>
  <si>
    <t xml:space="preserve">Long-Term Debt</t>
  </si>
  <si>
    <t xml:space="preserve">TOTAL LIABILITIES</t>
  </si>
  <si>
    <t xml:space="preserve">Equity</t>
  </si>
  <si>
    <t xml:space="preserve">Retained Earnings</t>
  </si>
  <si>
    <t xml:space="preserve">TOTAL EQUITY</t>
  </si>
  <si>
    <t xml:space="preserve">TOTAL LIAB + EQUITY</t>
  </si>
  <si>
    <t xml:space="preserve">Balance Check</t>
  </si>
  <si>
    <t xml:space="preserve">Returns &amp; Metrics</t>
  </si>
  <si>
    <t xml:space="preserve">Key performance ratios</t>
  </si>
  <si>
    <t xml:space="preserve">AFFO Calculation</t>
  </si>
  <si>
    <t xml:space="preserve">Less: Maint Capex</t>
  </si>
  <si>
    <t xml:space="preserve">AFFO</t>
  </si>
  <si>
    <t xml:space="preserve">Key Metrics</t>
  </si>
  <si>
    <t xml:space="preserve">Net Margin</t>
  </si>
  <si>
    <t xml:space="preserve">EV / EBITDA</t>
  </si>
  <si>
    <t xml:space="preserve">ROIC</t>
  </si>
  <si>
    <t xml:space="preserve">FCF Yield</t>
  </si>
</sst>
</file>

<file path=xl/styles.xml><?xml version="1.0" encoding="utf-8"?>
<styleSheet xmlns="http://schemas.openxmlformats.org/spreadsheetml/2006/main">
  <numFmts count="6">
    <numFmt numFmtId="164" formatCode="General"/>
    <numFmt numFmtId="165" formatCode="#,##0.00"/>
    <numFmt numFmtId="166" formatCode="0.00\x"/>
    <numFmt numFmtId="167" formatCode="0.00%"/>
    <numFmt numFmtId="168" formatCode="0"/>
    <numFmt numFmtId="169" formatCode="\$#,##0.00"/>
  </numFmts>
  <fonts count="23">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i val="true"/>
      <sz val="11"/>
      <color rgb="FF80808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sz val="11"/>
      <color rgb="FF2E75B6"/>
      <name val="Arial"/>
      <family val="0"/>
      <charset val="1"/>
    </font>
    <font>
      <b val="true"/>
      <sz val="11"/>
      <color rgb="FF006100"/>
      <name val="Arial"/>
      <family val="0"/>
      <charset val="1"/>
    </font>
  </fonts>
  <fills count="12">
    <fill>
      <patternFill patternType="none"/>
    </fill>
    <fill>
      <patternFill patternType="gray125"/>
    </fill>
    <fill>
      <patternFill patternType="solid">
        <fgColor theme="3"/>
        <bgColor rgb="FF1F4E79"/>
      </patternFill>
    </fill>
    <fill>
      <patternFill patternType="solid">
        <fgColor rgb="FF5B9BD5"/>
        <bgColor rgb="FF2E75B6"/>
      </patternFill>
    </fill>
    <fill>
      <patternFill patternType="solid">
        <fgColor rgb="FF70AD47"/>
        <bgColor rgb="FF99CC00"/>
      </patternFill>
    </fill>
    <fill>
      <patternFill patternType="solid">
        <fgColor rgb="FFED7D31"/>
        <bgColor rgb="FFFF8080"/>
      </patternFill>
    </fill>
    <fill>
      <patternFill patternType="solid">
        <fgColor rgb="FFFF0000"/>
        <bgColor rgb="FF993300"/>
      </patternFill>
    </fill>
    <fill>
      <patternFill patternType="solid">
        <fgColor rgb="FFA5A5A5"/>
        <bgColor rgb="FFC0C0C0"/>
      </patternFill>
    </fill>
    <fill>
      <patternFill patternType="solid">
        <fgColor rgb="FFD6E4F0"/>
        <bgColor rgb="FFEBF1FA"/>
      </patternFill>
    </fill>
    <fill>
      <patternFill patternType="solid">
        <fgColor rgb="FF1F4E79"/>
        <bgColor rgb="FF1F497D"/>
      </patternFill>
    </fill>
    <fill>
      <patternFill patternType="solid">
        <fgColor rgb="FFF2F2F2"/>
        <bgColor rgb="FFEBF1FA"/>
      </patternFill>
    </fill>
    <fill>
      <patternFill patternType="solid">
        <fgColor rgb="FFEBF1FA"/>
        <bgColor rgb="FFF2F2F2"/>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4" fontId="8" fillId="7" borderId="0" xfId="0" applyFont="true" applyBorder="false" applyAlignment="false" applyProtection="false">
      <alignment horizontal="general" vertical="bottom" textRotation="0" wrapText="false" indent="0" shrinkToFit="false"/>
      <protection locked="true" hidden="false"/>
    </xf>
    <xf numFmtId="164" fontId="11" fillId="8" borderId="0" xfId="0" applyFont="true" applyBorder="false" applyAlignment="true" applyProtection="false">
      <alignment horizontal="left" vertical="center"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1" shrinkToFit="false"/>
      <protection locked="true" hidden="false"/>
    </xf>
    <xf numFmtId="164" fontId="17" fillId="0" borderId="0" xfId="0" applyFont="true" applyBorder="false" applyAlignment="true" applyProtection="false">
      <alignment horizontal="left" vertical="top" textRotation="0" wrapText="true" indent="1" shrinkToFit="false"/>
      <protection locked="true" hidden="false"/>
    </xf>
    <xf numFmtId="164" fontId="18"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19" fillId="10" borderId="0" xfId="0" applyFont="true" applyBorder="false" applyAlignment="true" applyProtection="false">
      <alignment horizontal="left" vertical="top" textRotation="0" wrapText="true" indent="1"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0" shrinkToFit="false"/>
      <protection locked="true" hidden="false"/>
    </xf>
    <xf numFmtId="164" fontId="16" fillId="9" borderId="0" xfId="0" applyFont="true" applyBorder="false" applyAlignment="true" applyProtection="false">
      <alignment horizontal="center" vertical="center" textRotation="0" wrapText="false" indent="0" shrinkToFit="false"/>
      <protection locked="true" hidden="false"/>
    </xf>
    <xf numFmtId="164" fontId="11" fillId="8" borderId="0" xfId="0" applyFont="true" applyBorder="false" applyAlignment="false" applyProtection="false">
      <alignment horizontal="general" vertical="bottom" textRotation="0" wrapText="false" indent="0" shrinkToFit="false"/>
      <protection locked="true" hidden="false"/>
    </xf>
    <xf numFmtId="165" fontId="21" fillId="11"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6" fontId="21" fillId="11" borderId="0" xfId="0" applyFont="true" applyBorder="false" applyAlignment="true" applyProtection="false">
      <alignment horizontal="right" vertical="center" textRotation="0" wrapText="false" indent="0" shrinkToFit="false"/>
      <protection locked="true" hidden="false"/>
    </xf>
    <xf numFmtId="167" fontId="21" fillId="11" borderId="0" xfId="0" applyFont="true" applyBorder="false" applyAlignment="true" applyProtection="false">
      <alignment horizontal="right" vertical="center" textRotation="0" wrapText="false" indent="0" shrinkToFit="false"/>
      <protection locked="true" hidden="false"/>
    </xf>
    <xf numFmtId="164" fontId="16" fillId="9" borderId="0" xfId="0" applyFont="true" applyBorder="false" applyAlignment="false" applyProtection="false">
      <alignment horizontal="general" vertical="bottom" textRotation="0" wrapText="false" indent="0" shrinkToFit="false"/>
      <protection locked="true" hidden="false"/>
    </xf>
    <xf numFmtId="168" fontId="16" fillId="9" borderId="0" xfId="0" applyFont="true" applyBorder="false" applyAlignment="true" applyProtection="false">
      <alignment horizontal="center" vertical="center" textRotation="0" wrapText="false" indent="0" shrinkToFit="false"/>
      <protection locked="true" hidden="false"/>
    </xf>
    <xf numFmtId="165" fontId="0" fillId="0" borderId="0" xfId="0" applyFont="true" applyBorder="false" applyAlignment="true" applyProtection="false">
      <alignment horizontal="righ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1"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5" fontId="9" fillId="0" borderId="2" xfId="0" applyFont="true" applyBorder="true" applyAlignment="true" applyProtection="false">
      <alignment horizontal="right" vertical="center" textRotation="0" wrapText="false" indent="0" shrinkToFit="false"/>
      <protection locked="true" hidden="false"/>
    </xf>
    <xf numFmtId="166" fontId="0" fillId="0" borderId="0" xfId="0" applyFont="true" applyBorder="false" applyAlignment="true" applyProtection="false">
      <alignment horizontal="right" vertical="center" textRotation="0" wrapText="false" indent="0" shrinkToFit="false"/>
      <protection locked="true" hidden="false"/>
    </xf>
    <xf numFmtId="169" fontId="0" fillId="0" borderId="0" xfId="0" applyFont="true" applyBorder="false" applyAlignment="true" applyProtection="false">
      <alignment horizontal="righ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5" fontId="9" fillId="0" borderId="3" xfId="0" applyFont="true" applyBorder="tru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5" fontId="9" fillId="0" borderId="0" xfId="0" applyFont="true" applyBorder="false" applyAlignment="true" applyProtection="false">
      <alignment horizontal="right" vertical="center" textRotation="0" wrapText="false" indent="0" shrinkToFit="false"/>
      <protection locked="true" hidden="false"/>
    </xf>
    <xf numFmtId="167" fontId="0" fillId="0" borderId="0" xfId="0" applyFont="true" applyBorder="false" applyAlignment="true" applyProtection="false">
      <alignment horizontal="right"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6100"/>
      <rgbColor rgb="FF000080"/>
      <rgbColor rgb="FF808000"/>
      <rgbColor rgb="FF800080"/>
      <rgbColor rgb="FF008080"/>
      <rgbColor rgb="FFC0C0C0"/>
      <rgbColor rgb="FF808080"/>
      <rgbColor rgb="FF5B9BD5"/>
      <rgbColor rgb="FF993366"/>
      <rgbColor rgb="FFF2F2F2"/>
      <rgbColor rgb="FFEBF1FA"/>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25"/>
    <col collapsed="false" customWidth="true" hidden="false" outlineLevel="0" max="5" min="4" style="0" width="2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4</v>
      </c>
      <c r="C7" s="8" t="s">
        <v>5</v>
      </c>
      <c r="D7" s="9"/>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6</v>
      </c>
      <c r="C8" s="8" t="s">
        <v>7</v>
      </c>
      <c r="D8" s="10"/>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8</v>
      </c>
      <c r="C9" s="8" t="s">
        <v>9</v>
      </c>
      <c r="D9" s="11"/>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7" t="s">
        <v>10</v>
      </c>
      <c r="C10" s="8" t="s">
        <v>11</v>
      </c>
      <c r="D10" s="11"/>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7" t="s">
        <v>12</v>
      </c>
      <c r="C11" s="8" t="s">
        <v>13</v>
      </c>
      <c r="D11" s="12"/>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7" t="s">
        <v>14</v>
      </c>
      <c r="C12" s="8" t="s">
        <v>15</v>
      </c>
      <c r="D12" s="12"/>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7" t="s">
        <v>16</v>
      </c>
      <c r="C13" s="8" t="s">
        <v>17</v>
      </c>
      <c r="D13" s="12"/>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7" t="s">
        <v>18</v>
      </c>
      <c r="C14" s="8" t="s">
        <v>19</v>
      </c>
      <c r="D14" s="13"/>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7" t="s">
        <v>20</v>
      </c>
      <c r="C15" s="8" t="s">
        <v>21</v>
      </c>
      <c r="D15" s="14"/>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7" t="s">
        <v>22</v>
      </c>
      <c r="C16" s="8" t="s">
        <v>23</v>
      </c>
      <c r="D16" s="14"/>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7" t="s">
        <v>24</v>
      </c>
      <c r="C17" s="8" t="s">
        <v>25</v>
      </c>
      <c r="D17" s="14"/>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7" t="s">
        <v>26</v>
      </c>
      <c r="C18" s="8" t="s">
        <v>27</v>
      </c>
      <c r="D18" s="14"/>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6" t="s">
        <v>28</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7" t="s">
        <v>29</v>
      </c>
      <c r="C22" s="8" t="s">
        <v>4</v>
      </c>
      <c r="D22" s="9"/>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7" t="s">
        <v>30</v>
      </c>
      <c r="C23" s="8" t="s">
        <v>31</v>
      </c>
      <c r="D23" s="10"/>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7" t="s">
        <v>32</v>
      </c>
      <c r="C24" s="8" t="s">
        <v>33</v>
      </c>
      <c r="D24" s="11"/>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7" t="s">
        <v>34</v>
      </c>
      <c r="C25" s="8" t="s">
        <v>35</v>
      </c>
      <c r="D25" s="12"/>
      <c r="E25" s="5"/>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7" t="s">
        <v>36</v>
      </c>
      <c r="C26" s="8" t="s">
        <v>37</v>
      </c>
      <c r="D26" s="13"/>
      <c r="E26" s="5"/>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7" t="s">
        <v>38</v>
      </c>
      <c r="C27" s="8" t="s">
        <v>39</v>
      </c>
      <c r="D27" s="14"/>
      <c r="E27" s="5"/>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customFormat="false" ht="19.5" hidden="false" customHeight="true" outlineLevel="0" collapsed="false">
      <c r="A30" s="5"/>
      <c r="B30" s="15" t="s">
        <v>40</v>
      </c>
      <c r="C30" s="16"/>
      <c r="D30" s="16"/>
      <c r="E30" s="16"/>
      <c r="F30" s="16"/>
      <c r="G30" s="16"/>
      <c r="H30" s="5"/>
      <c r="I30" s="5"/>
      <c r="J30" s="5"/>
      <c r="K30" s="5"/>
      <c r="L30" s="5"/>
      <c r="M30" s="5"/>
      <c r="N30" s="5"/>
      <c r="O30" s="5"/>
      <c r="P30" s="5"/>
      <c r="Q30" s="5"/>
      <c r="R30" s="5"/>
      <c r="S30" s="5"/>
      <c r="T30" s="5"/>
      <c r="U30" s="5"/>
      <c r="V30" s="5"/>
      <c r="W30" s="5"/>
      <c r="X30" s="5"/>
      <c r="Y30" s="5"/>
      <c r="Z30" s="5"/>
      <c r="AA30" s="5"/>
      <c r="AB30" s="5"/>
      <c r="AC30" s="5"/>
      <c r="AD30" s="5"/>
    </row>
    <row r="31" customFormat="false" ht="195.75" hidden="false" customHeight="true" outlineLevel="0" collapsed="false">
      <c r="A31" s="5"/>
      <c r="B31" s="17" t="s">
        <v>41</v>
      </c>
      <c r="C31" s="17"/>
      <c r="D31" s="17"/>
      <c r="E31" s="17"/>
      <c r="F31" s="17"/>
      <c r="G31" s="17"/>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customFormat="false" ht="19.5" hidden="false" customHeight="true" outlineLevel="0" collapsed="false">
      <c r="A33" s="5"/>
      <c r="B33" s="15" t="s">
        <v>42</v>
      </c>
      <c r="C33" s="16"/>
      <c r="D33" s="16"/>
      <c r="E33" s="16"/>
      <c r="F33" s="16"/>
      <c r="G33" s="16"/>
      <c r="H33" s="5"/>
      <c r="I33" s="5"/>
      <c r="J33" s="5"/>
      <c r="K33" s="5"/>
      <c r="L33" s="5"/>
      <c r="M33" s="5"/>
      <c r="N33" s="5"/>
      <c r="O33" s="5"/>
      <c r="P33" s="5"/>
      <c r="Q33" s="5"/>
      <c r="R33" s="5"/>
      <c r="S33" s="5"/>
      <c r="T33" s="5"/>
      <c r="U33" s="5"/>
      <c r="V33" s="5"/>
      <c r="W33" s="5"/>
      <c r="X33" s="5"/>
      <c r="Y33" s="5"/>
      <c r="Z33" s="5"/>
      <c r="AA33" s="5"/>
      <c r="AB33" s="5"/>
      <c r="AC33" s="5"/>
      <c r="AD33" s="5"/>
    </row>
    <row r="34" customFormat="false" ht="57" hidden="false" customHeight="true" outlineLevel="0" collapsed="false">
      <c r="A34" s="5"/>
      <c r="B34" s="17" t="s">
        <v>43</v>
      </c>
      <c r="C34" s="17"/>
      <c r="D34" s="17"/>
      <c r="E34" s="17"/>
      <c r="F34" s="17"/>
      <c r="G34" s="17"/>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18" t="s">
        <v>44</v>
      </c>
      <c r="C35" s="18"/>
      <c r="D35" s="18"/>
      <c r="E35" s="18"/>
      <c r="F35" s="18"/>
      <c r="G35" s="18"/>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19" t="s">
        <v>45</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sheetData>
  <mergeCells count="3">
    <mergeCell ref="B31:G31"/>
    <mergeCell ref="B34:G34"/>
    <mergeCell ref="B35:G35"/>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G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232</v>
      </c>
      <c r="C2" s="5"/>
      <c r="D2" s="5"/>
      <c r="E2" s="5"/>
      <c r="F2" s="5"/>
      <c r="G2" s="5"/>
    </row>
    <row r="3" customFormat="false" ht="15" hidden="false" customHeight="false" outlineLevel="0" collapsed="false">
      <c r="A3" s="5"/>
      <c r="B3" s="29" t="s">
        <v>233</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7" t="s">
        <v>70</v>
      </c>
      <c r="C5" s="38" t="n">
        <f aca="false">Base_Year+0</f>
        <v>2025</v>
      </c>
      <c r="D5" s="38" t="n">
        <f aca="false">Base_Year+1</f>
        <v>2026</v>
      </c>
      <c r="E5" s="38" t="n">
        <f aca="false">Base_Year+2</f>
        <v>2027</v>
      </c>
      <c r="F5" s="38" t="n">
        <f aca="false">Base_Year+3</f>
        <v>2028</v>
      </c>
      <c r="G5" s="38" t="n">
        <f aca="false">Base_Year+4</f>
        <v>2029</v>
      </c>
    </row>
    <row r="6" customFormat="false" ht="15" hidden="false" customHeight="false" outlineLevel="0" collapsed="false">
      <c r="A6" s="5"/>
      <c r="B6" s="29" t="s">
        <v>164</v>
      </c>
      <c r="C6" s="34" t="n">
        <f aca="false">COLUMN(C1)-2</f>
        <v>1</v>
      </c>
      <c r="D6" s="34" t="n">
        <f aca="false">COLUMN(D1)-2</f>
        <v>2</v>
      </c>
      <c r="E6" s="34" t="n">
        <f aca="false">COLUMN(E1)-2</f>
        <v>3</v>
      </c>
      <c r="F6" s="34" t="n">
        <f aca="false">COLUMN(F1)-2</f>
        <v>4</v>
      </c>
      <c r="G6" s="34" t="n">
        <f aca="false">COLUMN(G1)-2</f>
        <v>5</v>
      </c>
    </row>
    <row r="7" customFormat="false" ht="15" hidden="false" customHeight="false" outlineLevel="0" collapsed="false">
      <c r="A7" s="5"/>
      <c r="B7" s="5"/>
      <c r="C7" s="5"/>
      <c r="D7" s="5"/>
      <c r="E7" s="5"/>
      <c r="F7" s="5"/>
      <c r="G7" s="5"/>
    </row>
    <row r="8" customFormat="false" ht="15" hidden="false" customHeight="false" outlineLevel="0" collapsed="false">
      <c r="A8" s="5"/>
      <c r="B8" s="32" t="s">
        <v>234</v>
      </c>
      <c r="C8" s="16"/>
      <c r="D8" s="16"/>
      <c r="E8" s="16"/>
      <c r="F8" s="16"/>
      <c r="G8" s="16"/>
    </row>
    <row r="9" customFormat="false" ht="15" hidden="false" customHeight="false" outlineLevel="0" collapsed="false">
      <c r="A9" s="5"/>
      <c r="B9" s="40" t="s">
        <v>87</v>
      </c>
      <c r="C9" s="39" t="n">
        <f aca="false">RB_Lease_Rev</f>
        <v>52149120</v>
      </c>
      <c r="D9" s="39" t="n">
        <f aca="false">RB_Lease_Rev</f>
        <v>61428507.84</v>
      </c>
      <c r="E9" s="39" t="n">
        <f aca="false">RB_Lease_Rev</f>
        <v>71874048.4056</v>
      </c>
      <c r="F9" s="39" t="n">
        <f aca="false">RB_Lease_Rev</f>
        <v>83614188.5771926</v>
      </c>
      <c r="G9" s="39" t="n">
        <f aca="false">RB_Lease_Rev</f>
        <v>96790566.1987326</v>
      </c>
    </row>
    <row r="10" customFormat="false" ht="15" hidden="false" customHeight="false" outlineLevel="0" collapsed="false">
      <c r="A10" s="5"/>
      <c r="B10" s="40" t="s">
        <v>98</v>
      </c>
      <c r="C10" s="39" t="n">
        <f aca="false">RB_Amend_Rev</f>
        <v>904320</v>
      </c>
      <c r="D10" s="39" t="n">
        <f aca="false">RB_Amend_Rev</f>
        <v>1034208</v>
      </c>
      <c r="E10" s="39" t="n">
        <f aca="false">RB_Amend_Rev</f>
        <v>1174824</v>
      </c>
      <c r="F10" s="39" t="n">
        <f aca="false">RB_Amend_Rev</f>
        <v>1326916.08</v>
      </c>
      <c r="G10" s="39" t="n">
        <f aca="false">RB_Amend_Rev</f>
        <v>1491280.308</v>
      </c>
    </row>
    <row r="11" customFormat="false" ht="15" hidden="false" customHeight="false" outlineLevel="0" collapsed="false">
      <c r="A11" s="5"/>
      <c r="B11" s="40" t="s">
        <v>103</v>
      </c>
      <c r="C11" s="39" t="n">
        <f aca="false">RB_Svc_Rev</f>
        <v>3250000</v>
      </c>
      <c r="D11" s="39" t="n">
        <f aca="false">RB_Svc_Rev</f>
        <v>3250000</v>
      </c>
      <c r="E11" s="39" t="n">
        <f aca="false">RB_Svc_Rev</f>
        <v>3250000</v>
      </c>
      <c r="F11" s="39" t="n">
        <f aca="false">RB_Svc_Rev</f>
        <v>3250000</v>
      </c>
      <c r="G11" s="39" t="n">
        <f aca="false">RB_Svc_Rev</f>
        <v>3250000</v>
      </c>
    </row>
    <row r="12" customFormat="false" ht="15" hidden="false" customHeight="false" outlineLevel="0" collapsed="false">
      <c r="A12" s="5"/>
      <c r="B12" s="45" t="s">
        <v>185</v>
      </c>
      <c r="C12" s="46" t="n">
        <f aca="false">C9+C10+C11</f>
        <v>56303440</v>
      </c>
      <c r="D12" s="46" t="n">
        <f aca="false">D9+D10+D11</f>
        <v>65712715.84</v>
      </c>
      <c r="E12" s="46" t="n">
        <f aca="false">E9+E10+E11</f>
        <v>76298872.4056</v>
      </c>
      <c r="F12" s="46" t="n">
        <f aca="false">F9+F10+F11</f>
        <v>88191104.6571926</v>
      </c>
      <c r="G12" s="46" t="n">
        <f aca="false">G9+G10+G11</f>
        <v>101531846.506733</v>
      </c>
    </row>
    <row r="13" customFormat="false" ht="15" hidden="false" customHeight="false" outlineLevel="0" collapsed="false">
      <c r="A13" s="5"/>
      <c r="B13" s="5"/>
      <c r="C13" s="5"/>
      <c r="D13" s="5"/>
      <c r="E13" s="5"/>
      <c r="F13" s="5"/>
      <c r="G13" s="5"/>
    </row>
    <row r="14" customFormat="false" ht="15" hidden="false" customHeight="false" outlineLevel="0" collapsed="false">
      <c r="A14" s="5"/>
      <c r="B14" s="32" t="s">
        <v>109</v>
      </c>
      <c r="C14" s="16"/>
      <c r="D14" s="16"/>
      <c r="E14" s="16"/>
      <c r="F14" s="16"/>
      <c r="G14" s="16"/>
    </row>
    <row r="15" customFormat="false" ht="15" hidden="false" customHeight="false" outlineLevel="0" collapsed="false">
      <c r="A15" s="5"/>
      <c r="B15" s="40" t="s">
        <v>109</v>
      </c>
      <c r="C15" s="39" t="n">
        <f aca="false">SC_Total_Site</f>
        <v>17898000</v>
      </c>
      <c r="D15" s="39" t="n">
        <f aca="false">SC_Total_Site</f>
        <v>19750500</v>
      </c>
      <c r="E15" s="39" t="n">
        <f aca="false">SC_Total_Site</f>
        <v>21651937.5</v>
      </c>
      <c r="F15" s="39" t="n">
        <f aca="false">SC_Total_Site</f>
        <v>23604074.0625</v>
      </c>
      <c r="G15" s="39" t="n">
        <f aca="false">SC_Total_Site</f>
        <v>25608728.7421875</v>
      </c>
    </row>
    <row r="16" customFormat="false" ht="15" hidden="false" customHeight="false" outlineLevel="0" collapsed="false">
      <c r="A16" s="5"/>
      <c r="B16" s="41" t="s">
        <v>195</v>
      </c>
      <c r="C16" s="42" t="n">
        <f aca="false">C12-C15</f>
        <v>38405440</v>
      </c>
      <c r="D16" s="42" t="n">
        <f aca="false">D12-D15</f>
        <v>45962215.84</v>
      </c>
      <c r="E16" s="42" t="n">
        <f aca="false">E12-E15</f>
        <v>54646934.9056</v>
      </c>
      <c r="F16" s="42" t="n">
        <f aca="false">F12-F15</f>
        <v>64587030.5946926</v>
      </c>
      <c r="G16" s="42" t="n">
        <f aca="false">G12-G15</f>
        <v>75923117.7645451</v>
      </c>
    </row>
    <row r="17" customFormat="false" ht="15" hidden="false" customHeight="false" outlineLevel="0" collapsed="false">
      <c r="A17" s="5"/>
      <c r="B17" s="5"/>
      <c r="C17" s="5"/>
      <c r="D17" s="5"/>
      <c r="E17" s="5"/>
      <c r="F17" s="5"/>
      <c r="G17" s="5"/>
    </row>
    <row r="18" customFormat="false" ht="15" hidden="false" customHeight="false" outlineLevel="0" collapsed="false">
      <c r="A18" s="5"/>
      <c r="B18" s="32" t="s">
        <v>200</v>
      </c>
      <c r="C18" s="16"/>
      <c r="D18" s="16"/>
      <c r="E18" s="16"/>
      <c r="F18" s="16"/>
      <c r="G18" s="16"/>
    </row>
    <row r="19" customFormat="false" ht="15" hidden="false" customHeight="false" outlineLevel="0" collapsed="false">
      <c r="A19" s="5"/>
      <c r="B19" s="40" t="s">
        <v>200</v>
      </c>
      <c r="C19" s="39" t="n">
        <f aca="false">OX_Total_Corp</f>
        <v>7037930</v>
      </c>
      <c r="D19" s="39" t="n">
        <f aca="false">OX_Total_Corp</f>
        <v>8214089.48</v>
      </c>
      <c r="E19" s="39" t="n">
        <f aca="false">OX_Total_Corp</f>
        <v>9537359.0507</v>
      </c>
      <c r="F19" s="39" t="n">
        <f aca="false">OX_Total_Corp</f>
        <v>11023888.0821491</v>
      </c>
      <c r="G19" s="39" t="n">
        <f aca="false">OX_Total_Corp</f>
        <v>12691480.8133416</v>
      </c>
    </row>
    <row r="20" customFormat="false" ht="15" hidden="false" customHeight="false" outlineLevel="0" collapsed="false">
      <c r="A20" s="5"/>
      <c r="B20" s="41" t="s">
        <v>205</v>
      </c>
      <c r="C20" s="42" t="n">
        <f aca="false">C16-C19</f>
        <v>31367510</v>
      </c>
      <c r="D20" s="42" t="n">
        <f aca="false">D16-D19</f>
        <v>37748126.36</v>
      </c>
      <c r="E20" s="42" t="n">
        <f aca="false">E16-E19</f>
        <v>45109575.8549</v>
      </c>
      <c r="F20" s="42" t="n">
        <f aca="false">F16-F19</f>
        <v>53563142.5125435</v>
      </c>
      <c r="G20" s="42" t="n">
        <f aca="false">G16-G19</f>
        <v>63231636.9512036</v>
      </c>
    </row>
    <row r="21" customFormat="false" ht="15" hidden="false" customHeight="false" outlineLevel="0" collapsed="false">
      <c r="A21" s="5"/>
      <c r="B21" s="5"/>
      <c r="C21" s="5"/>
      <c r="D21" s="5"/>
      <c r="E21" s="5"/>
      <c r="F21" s="5"/>
      <c r="G21" s="5"/>
    </row>
    <row r="22" customFormat="false" ht="15" hidden="false" customHeight="false" outlineLevel="0" collapsed="false">
      <c r="A22" s="5"/>
      <c r="B22" s="32" t="s">
        <v>136</v>
      </c>
      <c r="C22" s="16"/>
      <c r="D22" s="16"/>
      <c r="E22" s="16"/>
      <c r="F22" s="16"/>
      <c r="G22" s="16"/>
    </row>
    <row r="23" customFormat="false" ht="15" hidden="false" customHeight="false" outlineLevel="0" collapsed="false">
      <c r="A23" s="5"/>
      <c r="B23" s="40" t="s">
        <v>136</v>
      </c>
      <c r="C23" s="39" t="n">
        <f aca="false">CD_Dep_Charge</f>
        <v>21000839.0666667</v>
      </c>
      <c r="D23" s="39" t="n">
        <f aca="false">CD_Dep_Charge</f>
        <v>22297970.9886222</v>
      </c>
      <c r="E23" s="39" t="n">
        <f aca="false">CD_Dep_Charge</f>
        <v>23540271.0433901</v>
      </c>
      <c r="F23" s="39" t="n">
        <f aca="false">CD_Dep_Charge</f>
        <v>24733571.4815927</v>
      </c>
      <c r="G23" s="39" t="n">
        <f aca="false">CD_Dep_Charge</f>
        <v>25883553.1269978</v>
      </c>
    </row>
    <row r="24" customFormat="false" ht="15" hidden="false" customHeight="false" outlineLevel="0" collapsed="false">
      <c r="A24" s="5"/>
      <c r="B24" s="41" t="s">
        <v>218</v>
      </c>
      <c r="C24" s="42" t="n">
        <f aca="false">C20-C23</f>
        <v>10366670.9333333</v>
      </c>
      <c r="D24" s="42" t="n">
        <f aca="false">D20-D23</f>
        <v>15450155.3713778</v>
      </c>
      <c r="E24" s="42" t="n">
        <f aca="false">E20-E23</f>
        <v>21569304.8115099</v>
      </c>
      <c r="F24" s="42" t="n">
        <f aca="false">F20-F23</f>
        <v>28829571.0309508</v>
      </c>
      <c r="G24" s="42" t="n">
        <f aca="false">G20-G23</f>
        <v>37348083.8242058</v>
      </c>
    </row>
    <row r="25" customFormat="false" ht="15" hidden="false" customHeight="false" outlineLevel="0" collapsed="false">
      <c r="A25" s="5"/>
      <c r="B25" s="5"/>
      <c r="C25" s="5"/>
      <c r="D25" s="5"/>
      <c r="E25" s="5"/>
      <c r="F25" s="5"/>
      <c r="G25" s="5"/>
    </row>
    <row r="26" customFormat="false" ht="15" hidden="false" customHeight="false" outlineLevel="0" collapsed="false">
      <c r="A26" s="5"/>
      <c r="B26" s="32" t="s">
        <v>235</v>
      </c>
      <c r="C26" s="16"/>
      <c r="D26" s="16"/>
      <c r="E26" s="16"/>
      <c r="F26" s="16"/>
      <c r="G26" s="16"/>
    </row>
    <row r="27" customFormat="false" ht="15" hidden="false" customHeight="false" outlineLevel="0" collapsed="false">
      <c r="A27" s="5"/>
      <c r="B27" s="40" t="s">
        <v>227</v>
      </c>
      <c r="C27" s="39" t="n">
        <f aca="false">DS_Interest</f>
        <v>8250000</v>
      </c>
      <c r="D27" s="39" t="n">
        <f aca="false">DS_Interest</f>
        <v>9157915.338</v>
      </c>
      <c r="E27" s="39" t="n">
        <f aca="false">DS_Interest</f>
        <v>10035127.561668</v>
      </c>
      <c r="F27" s="39" t="n">
        <f aca="false">DS_Interest</f>
        <v>10884142.7533192</v>
      </c>
      <c r="G27" s="39" t="n">
        <f aca="false">DS_Interest</f>
        <v>11707448.2769954</v>
      </c>
    </row>
    <row r="28" customFormat="false" ht="15" hidden="false" customHeight="false" outlineLevel="0" collapsed="false">
      <c r="A28" s="5"/>
      <c r="B28" s="41" t="s">
        <v>236</v>
      </c>
      <c r="C28" s="42" t="n">
        <f aca="false">C24-C27</f>
        <v>2116670.93333333</v>
      </c>
      <c r="D28" s="42" t="n">
        <f aca="false">D24-D27</f>
        <v>6292240.03337778</v>
      </c>
      <c r="E28" s="42" t="n">
        <f aca="false">E24-E27</f>
        <v>11534177.2498419</v>
      </c>
      <c r="F28" s="42" t="n">
        <f aca="false">F24-F27</f>
        <v>17945428.2776316</v>
      </c>
      <c r="G28" s="42" t="n">
        <f aca="false">G24-G27</f>
        <v>25640635.5472104</v>
      </c>
    </row>
    <row r="29" customFormat="false" ht="15" hidden="false" customHeight="false" outlineLevel="0" collapsed="false">
      <c r="A29" s="5"/>
      <c r="B29" s="40" t="s">
        <v>237</v>
      </c>
      <c r="C29" s="39" t="n">
        <f aca="false">MAX(0,C28)*Tax_Rate</f>
        <v>529167.733333333</v>
      </c>
      <c r="D29" s="39" t="n">
        <f aca="false">MAX(0,D28)*Tax_Rate</f>
        <v>1573060.00834444</v>
      </c>
      <c r="E29" s="39" t="n">
        <f aca="false">MAX(0,E28)*Tax_Rate</f>
        <v>2883544.31246048</v>
      </c>
      <c r="F29" s="39" t="n">
        <f aca="false">MAX(0,F28)*Tax_Rate</f>
        <v>4486357.06940789</v>
      </c>
      <c r="G29" s="39" t="n">
        <f aca="false">MAX(0,G28)*Tax_Rate</f>
        <v>6410158.88680259</v>
      </c>
    </row>
    <row r="30" customFormat="false" ht="15" hidden="false" customHeight="false" outlineLevel="0" collapsed="false">
      <c r="A30" s="5"/>
      <c r="B30" s="45" t="s">
        <v>238</v>
      </c>
      <c r="C30" s="46" t="n">
        <f aca="false">C28-C29</f>
        <v>1587503.2</v>
      </c>
      <c r="D30" s="46" t="n">
        <f aca="false">D28-D29</f>
        <v>4719180.02503333</v>
      </c>
      <c r="E30" s="46" t="n">
        <f aca="false">E28-E29</f>
        <v>8650632.93738144</v>
      </c>
      <c r="F30" s="46" t="n">
        <f aca="false">F28-F29</f>
        <v>13459071.2082237</v>
      </c>
      <c r="G30" s="46" t="n">
        <f aca="false">G28-G29</f>
        <v>19230476.6604078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G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239</v>
      </c>
      <c r="C2" s="5"/>
      <c r="D2" s="5"/>
      <c r="E2" s="5"/>
      <c r="F2" s="5"/>
      <c r="G2" s="5"/>
    </row>
    <row r="3" customFormat="false" ht="15" hidden="false" customHeight="false" outlineLevel="0" collapsed="false">
      <c r="A3" s="5"/>
      <c r="B3" s="29" t="s">
        <v>240</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7" t="s">
        <v>70</v>
      </c>
      <c r="C5" s="38" t="n">
        <f aca="false">Base_Year+0</f>
        <v>2025</v>
      </c>
      <c r="D5" s="38" t="n">
        <f aca="false">Base_Year+1</f>
        <v>2026</v>
      </c>
      <c r="E5" s="38" t="n">
        <f aca="false">Base_Year+2</f>
        <v>2027</v>
      </c>
      <c r="F5" s="38" t="n">
        <f aca="false">Base_Year+3</f>
        <v>2028</v>
      </c>
      <c r="G5" s="38" t="n">
        <f aca="false">Base_Year+4</f>
        <v>2029</v>
      </c>
    </row>
    <row r="6" customFormat="false" ht="15" hidden="false" customHeight="false" outlineLevel="0" collapsed="false">
      <c r="A6" s="5"/>
      <c r="B6" s="29" t="s">
        <v>164</v>
      </c>
      <c r="C6" s="34" t="n">
        <f aca="false">COLUMN(C1)-2</f>
        <v>1</v>
      </c>
      <c r="D6" s="34" t="n">
        <f aca="false">COLUMN(D1)-2</f>
        <v>2</v>
      </c>
      <c r="E6" s="34" t="n">
        <f aca="false">COLUMN(E1)-2</f>
        <v>3</v>
      </c>
      <c r="F6" s="34" t="n">
        <f aca="false">COLUMN(F1)-2</f>
        <v>4</v>
      </c>
      <c r="G6" s="34" t="n">
        <f aca="false">COLUMN(G1)-2</f>
        <v>5</v>
      </c>
    </row>
    <row r="7" customFormat="false" ht="15" hidden="false" customHeight="false" outlineLevel="0" collapsed="false">
      <c r="A7" s="5"/>
      <c r="B7" s="5"/>
      <c r="C7" s="5"/>
      <c r="D7" s="5"/>
      <c r="E7" s="5"/>
      <c r="F7" s="5"/>
      <c r="G7" s="5"/>
    </row>
    <row r="8" customFormat="false" ht="15" hidden="false" customHeight="false" outlineLevel="0" collapsed="false">
      <c r="A8" s="5"/>
      <c r="B8" s="32" t="s">
        <v>241</v>
      </c>
      <c r="C8" s="16"/>
      <c r="D8" s="16"/>
      <c r="E8" s="16"/>
      <c r="F8" s="16"/>
      <c r="G8" s="16"/>
    </row>
    <row r="9" customFormat="false" ht="15" hidden="false" customHeight="false" outlineLevel="0" collapsed="false">
      <c r="A9" s="5"/>
      <c r="B9" s="7" t="s">
        <v>242</v>
      </c>
      <c r="C9" s="39" t="n">
        <f aca="false">IS_Net_Income</f>
        <v>1587503.2</v>
      </c>
      <c r="D9" s="39" t="n">
        <f aca="false">IS_Net_Income</f>
        <v>4719180.02503333</v>
      </c>
      <c r="E9" s="39" t="n">
        <f aca="false">IS_Net_Income</f>
        <v>8650632.93738144</v>
      </c>
      <c r="F9" s="39" t="n">
        <f aca="false">IS_Net_Income</f>
        <v>13459071.2082237</v>
      </c>
      <c r="G9" s="39" t="n">
        <f aca="false">IS_Net_Income</f>
        <v>19230476.6604078</v>
      </c>
    </row>
    <row r="10" customFormat="false" ht="15" hidden="false" customHeight="false" outlineLevel="0" collapsed="false">
      <c r="A10" s="5"/>
      <c r="B10" s="40" t="s">
        <v>243</v>
      </c>
      <c r="C10" s="39" t="n">
        <f aca="false">IS_Depreciation</f>
        <v>21000839.0666667</v>
      </c>
      <c r="D10" s="39" t="n">
        <f aca="false">IS_Depreciation</f>
        <v>22297970.9886222</v>
      </c>
      <c r="E10" s="39" t="n">
        <f aca="false">IS_Depreciation</f>
        <v>23540271.0433901</v>
      </c>
      <c r="F10" s="39" t="n">
        <f aca="false">IS_Depreciation</f>
        <v>24733571.4815927</v>
      </c>
      <c r="G10" s="39" t="n">
        <f aca="false">IS_Depreciation</f>
        <v>25883553.1269978</v>
      </c>
    </row>
    <row r="11" customFormat="false" ht="15" hidden="false" customHeight="false" outlineLevel="0" collapsed="false">
      <c r="A11" s="5"/>
      <c r="B11" s="40" t="s">
        <v>244</v>
      </c>
      <c r="C11" s="39" t="n">
        <f aca="false">RB_Total_Rev/12</f>
        <v>4691953.33333333</v>
      </c>
      <c r="D11" s="39" t="n">
        <f aca="false">RB_Total_Rev/12</f>
        <v>5476059.65333333</v>
      </c>
      <c r="E11" s="39" t="n">
        <f aca="false">RB_Total_Rev/12</f>
        <v>6358239.36713333</v>
      </c>
      <c r="F11" s="39" t="n">
        <f aca="false">RB_Total_Rev/12</f>
        <v>7349258.72143272</v>
      </c>
      <c r="G11" s="39" t="n">
        <f aca="false">RB_Total_Rev/12</f>
        <v>8460987.20889439</v>
      </c>
    </row>
    <row r="12" customFormat="false" ht="15" hidden="false" customHeight="false" outlineLevel="0" collapsed="false">
      <c r="A12" s="5"/>
      <c r="B12" s="40" t="s">
        <v>245</v>
      </c>
      <c r="C12" s="39" t="n">
        <f aca="false">SC_Total_Site/12</f>
        <v>1491500</v>
      </c>
      <c r="D12" s="39" t="n">
        <f aca="false">SC_Total_Site/12</f>
        <v>1645875</v>
      </c>
      <c r="E12" s="39" t="n">
        <f aca="false">SC_Total_Site/12</f>
        <v>1804328.125</v>
      </c>
      <c r="F12" s="39" t="n">
        <f aca="false">SC_Total_Site/12</f>
        <v>1967006.171875</v>
      </c>
      <c r="G12" s="39" t="n">
        <f aca="false">SC_Total_Site/12</f>
        <v>2134060.72851562</v>
      </c>
    </row>
    <row r="13" customFormat="false" ht="15" hidden="false" customHeight="false" outlineLevel="0" collapsed="false">
      <c r="A13" s="5"/>
      <c r="B13" s="40" t="s">
        <v>246</v>
      </c>
      <c r="C13" s="39" t="n">
        <f aca="false">-C11</f>
        <v>-4691953.33333333</v>
      </c>
      <c r="D13" s="39" t="n">
        <f aca="false">-(D11-C11)</f>
        <v>-784106.32</v>
      </c>
      <c r="E13" s="39" t="n">
        <f aca="false">-(E11-D11)</f>
        <v>-882179.7138</v>
      </c>
      <c r="F13" s="39" t="n">
        <f aca="false">-(F11-E11)</f>
        <v>-991019.354299382</v>
      </c>
      <c r="G13" s="39" t="n">
        <f aca="false">-(G11-F11)</f>
        <v>-1111728.48746167</v>
      </c>
    </row>
    <row r="14" customFormat="false" ht="15" hidden="false" customHeight="false" outlineLevel="0" collapsed="false">
      <c r="A14" s="5"/>
      <c r="B14" s="40" t="s">
        <v>247</v>
      </c>
      <c r="C14" s="39" t="n">
        <f aca="false">C12</f>
        <v>1491500</v>
      </c>
      <c r="D14" s="39" t="n">
        <f aca="false">D12-C12</f>
        <v>154375</v>
      </c>
      <c r="E14" s="39" t="n">
        <f aca="false">E12-D12</f>
        <v>158453.125</v>
      </c>
      <c r="F14" s="39" t="n">
        <f aca="false">F12-E12</f>
        <v>162678.046875</v>
      </c>
      <c r="G14" s="39" t="n">
        <f aca="false">G12-F12</f>
        <v>167054.556640625</v>
      </c>
    </row>
    <row r="15" customFormat="false" ht="15" hidden="false" customHeight="false" outlineLevel="0" collapsed="false">
      <c r="A15" s="5"/>
      <c r="B15" s="45" t="s">
        <v>248</v>
      </c>
      <c r="C15" s="46" t="n">
        <f aca="false">C9+C10+C13+C14</f>
        <v>19387888.9333333</v>
      </c>
      <c r="D15" s="46" t="n">
        <f aca="false">D9+D10+D13+D14</f>
        <v>26387419.6936556</v>
      </c>
      <c r="E15" s="46" t="n">
        <f aca="false">E9+E10+E13+E14</f>
        <v>31467177.3919715</v>
      </c>
      <c r="F15" s="46" t="n">
        <f aca="false">F9+F10+F13+F14</f>
        <v>37364301.382392</v>
      </c>
      <c r="G15" s="46" t="n">
        <f aca="false">G9+G10+G13+G14</f>
        <v>44169355.8565845</v>
      </c>
    </row>
    <row r="16" customFormat="false" ht="15" hidden="false" customHeight="false" outlineLevel="0" collapsed="false">
      <c r="A16" s="5"/>
      <c r="B16" s="5"/>
      <c r="C16" s="5"/>
      <c r="D16" s="5"/>
      <c r="E16" s="5"/>
      <c r="F16" s="5"/>
      <c r="G16" s="5"/>
    </row>
    <row r="17" customFormat="false" ht="15" hidden="false" customHeight="false" outlineLevel="0" collapsed="false">
      <c r="A17" s="5"/>
      <c r="B17" s="32" t="s">
        <v>249</v>
      </c>
      <c r="C17" s="16"/>
      <c r="D17" s="16"/>
      <c r="E17" s="16"/>
      <c r="F17" s="16"/>
      <c r="G17" s="16"/>
    </row>
    <row r="18" customFormat="false" ht="15" hidden="false" customHeight="false" outlineLevel="0" collapsed="false">
      <c r="A18" s="5"/>
      <c r="B18" s="40" t="s">
        <v>127</v>
      </c>
      <c r="C18" s="39" t="n">
        <f aca="false">-CD_Total_Capex</f>
        <v>-40012586</v>
      </c>
      <c r="D18" s="39" t="n">
        <f aca="false">-CD_Total_Capex</f>
        <v>-40457817.896</v>
      </c>
      <c r="E18" s="39" t="n">
        <f aca="false">-CD_Total_Capex</f>
        <v>-40932471.81014</v>
      </c>
      <c r="F18" s="39" t="n">
        <f aca="false">-CD_Total_Capex</f>
        <v>-41439777.6164298</v>
      </c>
      <c r="G18" s="39" t="n">
        <f aca="false">-CD_Total_Capex</f>
        <v>-41983296.1626683</v>
      </c>
    </row>
    <row r="19" customFormat="false" ht="15" hidden="false" customHeight="false" outlineLevel="0" collapsed="false">
      <c r="A19" s="5"/>
      <c r="B19" s="45" t="s">
        <v>250</v>
      </c>
      <c r="C19" s="46" t="n">
        <f aca="false">C18</f>
        <v>-40012586</v>
      </c>
      <c r="D19" s="46" t="n">
        <f aca="false">D18</f>
        <v>-40457817.896</v>
      </c>
      <c r="E19" s="46" t="n">
        <f aca="false">E18</f>
        <v>-40932471.81014</v>
      </c>
      <c r="F19" s="46" t="n">
        <f aca="false">F18</f>
        <v>-41439777.6164298</v>
      </c>
      <c r="G19" s="46" t="n">
        <f aca="false">G18</f>
        <v>-41983296.1626683</v>
      </c>
    </row>
    <row r="20" customFormat="false" ht="15" hidden="false" customHeight="false" outlineLevel="0" collapsed="false">
      <c r="A20" s="5"/>
      <c r="B20" s="5"/>
      <c r="C20" s="5"/>
      <c r="D20" s="5"/>
      <c r="E20" s="5"/>
      <c r="F20" s="5"/>
      <c r="G20" s="5"/>
    </row>
    <row r="21" customFormat="false" ht="15" hidden="false" customHeight="false" outlineLevel="0" collapsed="false">
      <c r="A21" s="5"/>
      <c r="B21" s="32" t="s">
        <v>251</v>
      </c>
      <c r="C21" s="16"/>
      <c r="D21" s="16"/>
      <c r="E21" s="16"/>
      <c r="F21" s="16"/>
      <c r="G21" s="16"/>
    </row>
    <row r="22" customFormat="false" ht="15" hidden="false" customHeight="false" outlineLevel="0" collapsed="false">
      <c r="A22" s="5"/>
      <c r="B22" s="40" t="s">
        <v>252</v>
      </c>
      <c r="C22" s="39" t="n">
        <f aca="false">DS_Drawdown</f>
        <v>24007551.6</v>
      </c>
      <c r="D22" s="39" t="n">
        <f aca="false">DS_Drawdown</f>
        <v>24274690.7376</v>
      </c>
      <c r="E22" s="39" t="n">
        <f aca="false">DS_Drawdown</f>
        <v>24559483.086084</v>
      </c>
      <c r="F22" s="39" t="n">
        <f aca="false">DS_Drawdown</f>
        <v>24863866.5698579</v>
      </c>
      <c r="G22" s="39" t="n">
        <f aca="false">DS_Drawdown</f>
        <v>25189977.697601</v>
      </c>
    </row>
    <row r="23" customFormat="false" ht="15" hidden="false" customHeight="false" outlineLevel="0" collapsed="false">
      <c r="A23" s="5"/>
      <c r="B23" s="40" t="s">
        <v>253</v>
      </c>
      <c r="C23" s="39" t="n">
        <f aca="false">DS_Repayment</f>
        <v>-7500000</v>
      </c>
      <c r="D23" s="39" t="n">
        <f aca="false">DS_Repayment</f>
        <v>-8325377.58</v>
      </c>
      <c r="E23" s="39" t="n">
        <f aca="false">DS_Repayment</f>
        <v>-9122843.23788</v>
      </c>
      <c r="F23" s="39" t="n">
        <f aca="false">DS_Repayment</f>
        <v>-9894675.2302902</v>
      </c>
      <c r="G23" s="39" t="n">
        <f aca="false">DS_Repayment</f>
        <v>-10643134.7972686</v>
      </c>
    </row>
    <row r="24" customFormat="false" ht="15" hidden="false" customHeight="false" outlineLevel="0" collapsed="false">
      <c r="A24" s="5"/>
      <c r="B24" s="40" t="s">
        <v>254</v>
      </c>
      <c r="C24" s="39" t="n">
        <f aca="false">-MAX(0,IS_Net_Income*Dividend_Payout)</f>
        <v>-952501.92</v>
      </c>
      <c r="D24" s="39" t="n">
        <f aca="false">-MAX(0,IS_Net_Income*Dividend_Payout)</f>
        <v>-2831508.01502</v>
      </c>
      <c r="E24" s="39" t="n">
        <f aca="false">-MAX(0,IS_Net_Income*Dividend_Payout)</f>
        <v>-5190379.76242887</v>
      </c>
      <c r="F24" s="39" t="n">
        <f aca="false">-MAX(0,IS_Net_Income*Dividend_Payout)</f>
        <v>-8075442.72493421</v>
      </c>
      <c r="G24" s="39" t="n">
        <f aca="false">-MAX(0,IS_Net_Income*Dividend_Payout)</f>
        <v>-11538285.9962447</v>
      </c>
    </row>
    <row r="25" customFormat="false" ht="15" hidden="false" customHeight="false" outlineLevel="0" collapsed="false">
      <c r="A25" s="5"/>
      <c r="B25" s="45" t="s">
        <v>255</v>
      </c>
      <c r="C25" s="46" t="n">
        <f aca="false">C22+C23+C24</f>
        <v>15555049.68</v>
      </c>
      <c r="D25" s="46" t="n">
        <f aca="false">D22+D23+D24</f>
        <v>13117805.14258</v>
      </c>
      <c r="E25" s="46" t="n">
        <f aca="false">E22+E23+E24</f>
        <v>10246260.0857751</v>
      </c>
      <c r="F25" s="46" t="n">
        <f aca="false">F22+F23+F24</f>
        <v>6893748.61463348</v>
      </c>
      <c r="G25" s="46" t="n">
        <f aca="false">G22+G23+G24</f>
        <v>3008556.90408775</v>
      </c>
    </row>
    <row r="26" customFormat="false" ht="15" hidden="false" customHeight="false" outlineLevel="0" collapsed="false">
      <c r="A26" s="5"/>
      <c r="B26" s="5"/>
      <c r="C26" s="5"/>
      <c r="D26" s="5"/>
      <c r="E26" s="5"/>
      <c r="F26" s="5"/>
      <c r="G26" s="5"/>
    </row>
    <row r="27" customFormat="false" ht="15" hidden="false" customHeight="false" outlineLevel="0" collapsed="false">
      <c r="A27" s="5"/>
      <c r="B27" s="32" t="s">
        <v>256</v>
      </c>
      <c r="C27" s="16"/>
      <c r="D27" s="16"/>
      <c r="E27" s="16"/>
      <c r="F27" s="16"/>
      <c r="G27" s="16"/>
    </row>
    <row r="28" customFormat="false" ht="15" hidden="false" customHeight="false" outlineLevel="0" collapsed="false">
      <c r="A28" s="5"/>
      <c r="B28" s="7" t="s">
        <v>158</v>
      </c>
      <c r="C28" s="39" t="n">
        <f aca="false">Opening_Cash_Bal</f>
        <v>25000000</v>
      </c>
      <c r="D28" s="39" t="n">
        <f aca="false">C30</f>
        <v>19930352.6133333</v>
      </c>
      <c r="E28" s="39" t="n">
        <f aca="false">D30</f>
        <v>18977759.5535689</v>
      </c>
      <c r="F28" s="39" t="n">
        <f aca="false">E30</f>
        <v>19758725.2211755</v>
      </c>
      <c r="G28" s="39" t="n">
        <f aca="false">F30</f>
        <v>22576997.6017712</v>
      </c>
    </row>
    <row r="29" customFormat="false" ht="15" hidden="false" customHeight="false" outlineLevel="0" collapsed="false">
      <c r="A29" s="5"/>
      <c r="B29" s="40" t="s">
        <v>257</v>
      </c>
      <c r="C29" s="39" t="n">
        <f aca="false">C15+C19+C25</f>
        <v>-5069647.38666667</v>
      </c>
      <c r="D29" s="39" t="n">
        <f aca="false">D15+D19+D25</f>
        <v>-952593.059764445</v>
      </c>
      <c r="E29" s="39" t="n">
        <f aca="false">E15+E19+E25</f>
        <v>780965.667606648</v>
      </c>
      <c r="F29" s="39" t="n">
        <f aca="false">F15+F19+F25</f>
        <v>2818272.38059569</v>
      </c>
      <c r="G29" s="39" t="n">
        <f aca="false">G15+G19+G25</f>
        <v>5194616.5980039</v>
      </c>
    </row>
    <row r="30" customFormat="false" ht="15" hidden="false" customHeight="false" outlineLevel="0" collapsed="false">
      <c r="A30" s="5"/>
      <c r="B30" s="45" t="s">
        <v>258</v>
      </c>
      <c r="C30" s="46" t="n">
        <f aca="false">C28+C29</f>
        <v>19930352.6133333</v>
      </c>
      <c r="D30" s="46" t="n">
        <f aca="false">D28+D29</f>
        <v>18977759.5535689</v>
      </c>
      <c r="E30" s="46" t="n">
        <f aca="false">E28+E29</f>
        <v>19758725.2211755</v>
      </c>
      <c r="F30" s="46" t="n">
        <f aca="false">F28+F29</f>
        <v>22576997.6017712</v>
      </c>
      <c r="G30" s="46" t="n">
        <f aca="false">G28+G29</f>
        <v>27771614.1997751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G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259</v>
      </c>
      <c r="C2" s="5"/>
      <c r="D2" s="5"/>
      <c r="E2" s="5"/>
      <c r="F2" s="5"/>
      <c r="G2" s="5"/>
    </row>
    <row r="3" customFormat="false" ht="15" hidden="false" customHeight="false" outlineLevel="0" collapsed="false">
      <c r="A3" s="5"/>
      <c r="B3" s="29" t="s">
        <v>25</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7" t="s">
        <v>70</v>
      </c>
      <c r="C5" s="38" t="n">
        <f aca="false">Base_Year+0</f>
        <v>2025</v>
      </c>
      <c r="D5" s="38" t="n">
        <f aca="false">Base_Year+1</f>
        <v>2026</v>
      </c>
      <c r="E5" s="38" t="n">
        <f aca="false">Base_Year+2</f>
        <v>2027</v>
      </c>
      <c r="F5" s="38" t="n">
        <f aca="false">Base_Year+3</f>
        <v>2028</v>
      </c>
      <c r="G5" s="38" t="n">
        <f aca="false">Base_Year+4</f>
        <v>2029</v>
      </c>
    </row>
    <row r="6" customFormat="false" ht="15" hidden="false" customHeight="false" outlineLevel="0" collapsed="false">
      <c r="A6" s="5"/>
      <c r="B6" s="29" t="s">
        <v>164</v>
      </c>
      <c r="C6" s="34" t="n">
        <f aca="false">COLUMN(C1)-2</f>
        <v>1</v>
      </c>
      <c r="D6" s="34" t="n">
        <f aca="false">COLUMN(D1)-2</f>
        <v>2</v>
      </c>
      <c r="E6" s="34" t="n">
        <f aca="false">COLUMN(E1)-2</f>
        <v>3</v>
      </c>
      <c r="F6" s="34" t="n">
        <f aca="false">COLUMN(F1)-2</f>
        <v>4</v>
      </c>
      <c r="G6" s="34" t="n">
        <f aca="false">COLUMN(G1)-2</f>
        <v>5</v>
      </c>
    </row>
    <row r="7" customFormat="false" ht="15" hidden="false" customHeight="false" outlineLevel="0" collapsed="false">
      <c r="A7" s="5"/>
      <c r="B7" s="5"/>
      <c r="C7" s="5"/>
      <c r="D7" s="5"/>
      <c r="E7" s="5"/>
      <c r="F7" s="5"/>
      <c r="G7" s="5"/>
    </row>
    <row r="8" customFormat="false" ht="15" hidden="false" customHeight="false" outlineLevel="0" collapsed="false">
      <c r="A8" s="5"/>
      <c r="B8" s="32" t="s">
        <v>260</v>
      </c>
      <c r="C8" s="16"/>
      <c r="D8" s="16"/>
      <c r="E8" s="16"/>
      <c r="F8" s="16"/>
      <c r="G8" s="16"/>
    </row>
    <row r="9" customFormat="false" ht="15" hidden="false" customHeight="false" outlineLevel="0" collapsed="false">
      <c r="A9" s="5"/>
      <c r="B9" s="40" t="s">
        <v>261</v>
      </c>
      <c r="C9" s="39" t="n">
        <f aca="false">CF_Close_Cash</f>
        <v>19930352.6133333</v>
      </c>
      <c r="D9" s="39" t="n">
        <f aca="false">CF_Close_Cash</f>
        <v>18977759.5535689</v>
      </c>
      <c r="E9" s="39" t="n">
        <f aca="false">CF_Close_Cash</f>
        <v>19758725.2211755</v>
      </c>
      <c r="F9" s="39" t="n">
        <f aca="false">CF_Close_Cash</f>
        <v>22576997.6017712</v>
      </c>
      <c r="G9" s="39" t="n">
        <f aca="false">CF_Close_Cash</f>
        <v>27771614.1997751</v>
      </c>
    </row>
    <row r="10" customFormat="false" ht="15" hidden="false" customHeight="false" outlineLevel="0" collapsed="false">
      <c r="A10" s="5"/>
      <c r="B10" s="40" t="s">
        <v>262</v>
      </c>
      <c r="C10" s="39" t="n">
        <f aca="false">RB_Total_Rev/12</f>
        <v>4691953.33333333</v>
      </c>
      <c r="D10" s="39" t="n">
        <f aca="false">RB_Total_Rev/12</f>
        <v>5476059.65333333</v>
      </c>
      <c r="E10" s="39" t="n">
        <f aca="false">RB_Total_Rev/12</f>
        <v>6358239.36713333</v>
      </c>
      <c r="F10" s="39" t="n">
        <f aca="false">RB_Total_Rev/12</f>
        <v>7349258.72143272</v>
      </c>
      <c r="G10" s="39" t="n">
        <f aca="false">RB_Total_Rev/12</f>
        <v>8460987.20889439</v>
      </c>
    </row>
    <row r="11" customFormat="false" ht="15" hidden="false" customHeight="false" outlineLevel="0" collapsed="false">
      <c r="A11" s="5"/>
      <c r="B11" s="41" t="s">
        <v>263</v>
      </c>
      <c r="C11" s="42" t="n">
        <f aca="false">C9+C10</f>
        <v>24622305.9466667</v>
      </c>
      <c r="D11" s="42" t="n">
        <f aca="false">D9+D10</f>
        <v>24453819.2069022</v>
      </c>
      <c r="E11" s="42" t="n">
        <f aca="false">E9+E10</f>
        <v>26116964.5883089</v>
      </c>
      <c r="F11" s="42" t="n">
        <f aca="false">F9+F10</f>
        <v>29926256.3232039</v>
      </c>
      <c r="G11" s="42" t="n">
        <f aca="false">G9+G10</f>
        <v>36232601.4086695</v>
      </c>
    </row>
    <row r="12" customFormat="false" ht="15" hidden="false" customHeight="false" outlineLevel="0" collapsed="false">
      <c r="A12" s="5"/>
      <c r="B12" s="40" t="s">
        <v>264</v>
      </c>
      <c r="C12" s="39" t="n">
        <f aca="false">CD_Closing_PPE</f>
        <v>294011746.933333</v>
      </c>
      <c r="D12" s="39" t="n">
        <f aca="false">CD_Closing_PPE</f>
        <v>312171593.840711</v>
      </c>
      <c r="E12" s="39" t="n">
        <f aca="false">CD_Closing_PPE</f>
        <v>329563794.607461</v>
      </c>
      <c r="F12" s="39" t="n">
        <f aca="false">CD_Closing_PPE</f>
        <v>346270000.742298</v>
      </c>
      <c r="G12" s="39" t="n">
        <f aca="false">CD_Closing_PPE</f>
        <v>362369743.777969</v>
      </c>
    </row>
    <row r="13" customFormat="false" ht="15" hidden="false" customHeight="false" outlineLevel="0" collapsed="false">
      <c r="A13" s="5"/>
      <c r="B13" s="45" t="s">
        <v>265</v>
      </c>
      <c r="C13" s="46" t="n">
        <f aca="false">C11+C12</f>
        <v>318634052.88</v>
      </c>
      <c r="D13" s="46" t="n">
        <f aca="false">D11+D12</f>
        <v>336625413.047613</v>
      </c>
      <c r="E13" s="46" t="n">
        <f aca="false">E11+E12</f>
        <v>355680759.19577</v>
      </c>
      <c r="F13" s="46" t="n">
        <f aca="false">F11+F12</f>
        <v>376196257.065502</v>
      </c>
      <c r="G13" s="46" t="n">
        <f aca="false">G11+G12</f>
        <v>398602345.186638</v>
      </c>
    </row>
    <row r="14" customFormat="false" ht="15" hidden="false" customHeight="false" outlineLevel="0" collapsed="false">
      <c r="A14" s="5"/>
      <c r="B14" s="5"/>
      <c r="C14" s="5"/>
      <c r="D14" s="5"/>
      <c r="E14" s="5"/>
      <c r="F14" s="5"/>
      <c r="G14" s="5"/>
    </row>
    <row r="15" customFormat="false" ht="15" hidden="false" customHeight="false" outlineLevel="0" collapsed="false">
      <c r="A15" s="5"/>
      <c r="B15" s="32" t="s">
        <v>266</v>
      </c>
      <c r="C15" s="16"/>
      <c r="D15" s="16"/>
      <c r="E15" s="16"/>
      <c r="F15" s="16"/>
      <c r="G15" s="16"/>
    </row>
    <row r="16" customFormat="false" ht="15" hidden="false" customHeight="false" outlineLevel="0" collapsed="false">
      <c r="A16" s="5"/>
      <c r="B16" s="40" t="s">
        <v>267</v>
      </c>
      <c r="C16" s="39" t="n">
        <f aca="false">SC_Total_Site/12</f>
        <v>1491500</v>
      </c>
      <c r="D16" s="39" t="n">
        <f aca="false">SC_Total_Site/12</f>
        <v>1645875</v>
      </c>
      <c r="E16" s="39" t="n">
        <f aca="false">SC_Total_Site/12</f>
        <v>1804328.125</v>
      </c>
      <c r="F16" s="39" t="n">
        <f aca="false">SC_Total_Site/12</f>
        <v>1967006.171875</v>
      </c>
      <c r="G16" s="39" t="n">
        <f aca="false">SC_Total_Site/12</f>
        <v>2134060.72851562</v>
      </c>
    </row>
    <row r="17" customFormat="false" ht="15" hidden="false" customHeight="false" outlineLevel="0" collapsed="false">
      <c r="A17" s="5"/>
      <c r="B17" s="41" t="s">
        <v>268</v>
      </c>
      <c r="C17" s="42" t="n">
        <f aca="false">C16</f>
        <v>1491500</v>
      </c>
      <c r="D17" s="42" t="n">
        <f aca="false">D16</f>
        <v>1645875</v>
      </c>
      <c r="E17" s="42" t="n">
        <f aca="false">E16</f>
        <v>1804328.125</v>
      </c>
      <c r="F17" s="42" t="n">
        <f aca="false">F16</f>
        <v>1967006.171875</v>
      </c>
      <c r="G17" s="42" t="n">
        <f aca="false">G16</f>
        <v>2134060.72851562</v>
      </c>
    </row>
    <row r="18" customFormat="false" ht="15" hidden="false" customHeight="false" outlineLevel="0" collapsed="false">
      <c r="A18" s="5"/>
      <c r="B18" s="40" t="s">
        <v>269</v>
      </c>
      <c r="C18" s="39" t="n">
        <f aca="false">DS_Closing</f>
        <v>166507551.6</v>
      </c>
      <c r="D18" s="39" t="n">
        <f aca="false">DS_Closing</f>
        <v>182456864.7576</v>
      </c>
      <c r="E18" s="39" t="n">
        <f aca="false">DS_Closing</f>
        <v>197893504.605804</v>
      </c>
      <c r="F18" s="39" t="n">
        <f aca="false">DS_Closing</f>
        <v>212862695.945372</v>
      </c>
      <c r="G18" s="39" t="n">
        <f aca="false">DS_Closing</f>
        <v>227409538.845704</v>
      </c>
    </row>
    <row r="19" customFormat="false" ht="15" hidden="false" customHeight="false" outlineLevel="0" collapsed="false">
      <c r="A19" s="5"/>
      <c r="B19" s="45" t="s">
        <v>270</v>
      </c>
      <c r="C19" s="46" t="n">
        <f aca="false">C17+C18</f>
        <v>167999051.6</v>
      </c>
      <c r="D19" s="46" t="n">
        <f aca="false">D17+D18</f>
        <v>184102739.7576</v>
      </c>
      <c r="E19" s="46" t="n">
        <f aca="false">E17+E18</f>
        <v>199697832.730804</v>
      </c>
      <c r="F19" s="46" t="n">
        <f aca="false">F17+F18</f>
        <v>214829702.117247</v>
      </c>
      <c r="G19" s="46" t="n">
        <f aca="false">G17+G18</f>
        <v>229543599.57422</v>
      </c>
    </row>
    <row r="20" customFormat="false" ht="15" hidden="false" customHeight="false" outlineLevel="0" collapsed="false">
      <c r="A20" s="5"/>
      <c r="B20" s="5"/>
      <c r="C20" s="5"/>
      <c r="D20" s="5"/>
      <c r="E20" s="5"/>
      <c r="F20" s="5"/>
      <c r="G20" s="5"/>
    </row>
    <row r="21" customFormat="false" ht="15" hidden="false" customHeight="false" outlineLevel="0" collapsed="false">
      <c r="A21" s="5"/>
      <c r="B21" s="32" t="s">
        <v>271</v>
      </c>
      <c r="C21" s="16"/>
      <c r="D21" s="16"/>
      <c r="E21" s="16"/>
      <c r="F21" s="16"/>
      <c r="G21" s="16"/>
    </row>
    <row r="22" customFormat="false" ht="15" hidden="false" customHeight="false" outlineLevel="0" collapsed="false">
      <c r="A22" s="5"/>
      <c r="B22" s="40" t="s">
        <v>154</v>
      </c>
      <c r="C22" s="39" t="n">
        <f aca="false">Share_Capital</f>
        <v>100000000</v>
      </c>
      <c r="D22" s="39" t="n">
        <f aca="false">Share_Capital</f>
        <v>100000000</v>
      </c>
      <c r="E22" s="39" t="n">
        <f aca="false">Share_Capital</f>
        <v>100000000</v>
      </c>
      <c r="F22" s="39" t="n">
        <f aca="false">Share_Capital</f>
        <v>100000000</v>
      </c>
      <c r="G22" s="39" t="n">
        <f aca="false">Share_Capital</f>
        <v>100000000</v>
      </c>
    </row>
    <row r="23" customFormat="false" ht="15" hidden="false" customHeight="false" outlineLevel="0" collapsed="false">
      <c r="A23" s="5"/>
      <c r="B23" s="40" t="s">
        <v>272</v>
      </c>
      <c r="C23" s="39" t="n">
        <f aca="false">Opening_RE+IS_Net_Income+CF_Dividends</f>
        <v>50635001.28</v>
      </c>
      <c r="D23" s="39" t="n">
        <f aca="false">C23+IS_Net_Income+CF_Dividends</f>
        <v>52522673.2900133</v>
      </c>
      <c r="E23" s="39" t="n">
        <f aca="false">D23+IS_Net_Income+CF_Dividends</f>
        <v>55982926.4649659</v>
      </c>
      <c r="F23" s="39" t="n">
        <f aca="false">E23+IS_Net_Income+CF_Dividends</f>
        <v>61366554.9482554</v>
      </c>
      <c r="G23" s="39" t="n">
        <f aca="false">F23+IS_Net_Income+CF_Dividends</f>
        <v>69058745.6124185</v>
      </c>
    </row>
    <row r="24" customFormat="false" ht="15" hidden="false" customHeight="false" outlineLevel="0" collapsed="false">
      <c r="A24" s="5"/>
      <c r="B24" s="45" t="s">
        <v>273</v>
      </c>
      <c r="C24" s="46" t="n">
        <f aca="false">C22+C23</f>
        <v>150635001.28</v>
      </c>
      <c r="D24" s="46" t="n">
        <f aca="false">D22+D23</f>
        <v>152522673.290013</v>
      </c>
      <c r="E24" s="46" t="n">
        <f aca="false">E22+E23</f>
        <v>155982926.464966</v>
      </c>
      <c r="F24" s="46" t="n">
        <f aca="false">F22+F23</f>
        <v>161366554.948255</v>
      </c>
      <c r="G24" s="46" t="n">
        <f aca="false">G22+G23</f>
        <v>169058745.612419</v>
      </c>
    </row>
    <row r="25" customFormat="false" ht="15" hidden="false" customHeight="false" outlineLevel="0" collapsed="false">
      <c r="A25" s="5"/>
      <c r="B25" s="45" t="s">
        <v>274</v>
      </c>
      <c r="C25" s="46" t="n">
        <f aca="false">C19+C24</f>
        <v>318634052.88</v>
      </c>
      <c r="D25" s="46" t="n">
        <f aca="false">D19+D24</f>
        <v>336625413.047613</v>
      </c>
      <c r="E25" s="46" t="n">
        <f aca="false">E19+E24</f>
        <v>355680759.19577</v>
      </c>
      <c r="F25" s="46" t="n">
        <f aca="false">F19+F24</f>
        <v>376196257.065502</v>
      </c>
      <c r="G25" s="46" t="n">
        <f aca="false">G19+G24</f>
        <v>398602345.186638</v>
      </c>
    </row>
    <row r="26" customFormat="false" ht="15" hidden="false" customHeight="false" outlineLevel="0" collapsed="false">
      <c r="A26" s="5"/>
      <c r="B26" s="5"/>
      <c r="C26" s="5"/>
      <c r="D26" s="5"/>
      <c r="E26" s="5"/>
      <c r="F26" s="5"/>
      <c r="G26" s="5"/>
    </row>
    <row r="27" customFormat="false" ht="15" hidden="false" customHeight="false" outlineLevel="0" collapsed="false">
      <c r="A27" s="5"/>
      <c r="B27" s="50" t="s">
        <v>275</v>
      </c>
      <c r="C27" s="48" t="n">
        <f aca="false">C13-C25</f>
        <v>0</v>
      </c>
      <c r="D27" s="48" t="n">
        <f aca="false">D13-D25</f>
        <v>0</v>
      </c>
      <c r="E27" s="48" t="n">
        <f aca="false">E13-E25</f>
        <v>0</v>
      </c>
      <c r="F27" s="48" t="n">
        <f aca="false">F13-F25</f>
        <v>0</v>
      </c>
      <c r="G27" s="48" t="n">
        <f aca="false">G13-G25</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G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276</v>
      </c>
      <c r="C2" s="5"/>
      <c r="D2" s="5"/>
      <c r="E2" s="5"/>
      <c r="F2" s="5"/>
      <c r="G2" s="5"/>
    </row>
    <row r="3" customFormat="false" ht="15" hidden="false" customHeight="false" outlineLevel="0" collapsed="false">
      <c r="A3" s="5"/>
      <c r="B3" s="29" t="s">
        <v>277</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7" t="s">
        <v>70</v>
      </c>
      <c r="C5" s="38" t="n">
        <f aca="false">Base_Year+0</f>
        <v>2025</v>
      </c>
      <c r="D5" s="38" t="n">
        <f aca="false">Base_Year+1</f>
        <v>2026</v>
      </c>
      <c r="E5" s="38" t="n">
        <f aca="false">Base_Year+2</f>
        <v>2027</v>
      </c>
      <c r="F5" s="38" t="n">
        <f aca="false">Base_Year+3</f>
        <v>2028</v>
      </c>
      <c r="G5" s="38" t="n">
        <f aca="false">Base_Year+4</f>
        <v>2029</v>
      </c>
    </row>
    <row r="6" customFormat="false" ht="15" hidden="false" customHeight="false" outlineLevel="0" collapsed="false">
      <c r="A6" s="5"/>
      <c r="B6" s="29" t="s">
        <v>164</v>
      </c>
      <c r="C6" s="34" t="n">
        <f aca="false">COLUMN(C1)-2</f>
        <v>1</v>
      </c>
      <c r="D6" s="34" t="n">
        <f aca="false">COLUMN(D1)-2</f>
        <v>2</v>
      </c>
      <c r="E6" s="34" t="n">
        <f aca="false">COLUMN(E1)-2</f>
        <v>3</v>
      </c>
      <c r="F6" s="34" t="n">
        <f aca="false">COLUMN(F1)-2</f>
        <v>4</v>
      </c>
      <c r="G6" s="34" t="n">
        <f aca="false">COLUMN(G1)-2</f>
        <v>5</v>
      </c>
    </row>
    <row r="7" customFormat="false" ht="15" hidden="false" customHeight="false" outlineLevel="0" collapsed="false">
      <c r="A7" s="5"/>
      <c r="B7" s="5"/>
      <c r="C7" s="5"/>
      <c r="D7" s="5"/>
      <c r="E7" s="5"/>
      <c r="F7" s="5"/>
      <c r="G7" s="5"/>
    </row>
    <row r="8" customFormat="false" ht="15" hidden="false" customHeight="false" outlineLevel="0" collapsed="false">
      <c r="A8" s="5"/>
      <c r="B8" s="32" t="s">
        <v>278</v>
      </c>
      <c r="C8" s="16"/>
      <c r="D8" s="16"/>
      <c r="E8" s="16"/>
      <c r="F8" s="16"/>
      <c r="G8" s="16"/>
    </row>
    <row r="9" customFormat="false" ht="15" hidden="false" customHeight="false" outlineLevel="0" collapsed="false">
      <c r="A9" s="5"/>
      <c r="B9" s="7" t="s">
        <v>242</v>
      </c>
      <c r="C9" s="39" t="n">
        <f aca="false">IS_Net_Income</f>
        <v>1587503.2</v>
      </c>
      <c r="D9" s="39" t="n">
        <f aca="false">IS_Net_Income</f>
        <v>4719180.02503333</v>
      </c>
      <c r="E9" s="39" t="n">
        <f aca="false">IS_Net_Income</f>
        <v>8650632.93738144</v>
      </c>
      <c r="F9" s="39" t="n">
        <f aca="false">IS_Net_Income</f>
        <v>13459071.2082237</v>
      </c>
      <c r="G9" s="39" t="n">
        <f aca="false">IS_Net_Income</f>
        <v>19230476.6604078</v>
      </c>
    </row>
    <row r="10" customFormat="false" ht="15" hidden="false" customHeight="false" outlineLevel="0" collapsed="false">
      <c r="A10" s="5"/>
      <c r="B10" s="40" t="s">
        <v>243</v>
      </c>
      <c r="C10" s="39" t="n">
        <f aca="false">IS_Depreciation</f>
        <v>21000839.0666667</v>
      </c>
      <c r="D10" s="39" t="n">
        <f aca="false">IS_Depreciation</f>
        <v>22297970.9886222</v>
      </c>
      <c r="E10" s="39" t="n">
        <f aca="false">IS_Depreciation</f>
        <v>23540271.0433901</v>
      </c>
      <c r="F10" s="39" t="n">
        <f aca="false">IS_Depreciation</f>
        <v>24733571.4815927</v>
      </c>
      <c r="G10" s="39" t="n">
        <f aca="false">IS_Depreciation</f>
        <v>25883553.1269978</v>
      </c>
    </row>
    <row r="11" customFormat="false" ht="15" hidden="false" customHeight="false" outlineLevel="0" collapsed="false">
      <c r="A11" s="5"/>
      <c r="B11" s="40" t="s">
        <v>279</v>
      </c>
      <c r="C11" s="39" t="n">
        <f aca="false">-CD_Maint_Capex</f>
        <v>-1407586</v>
      </c>
      <c r="D11" s="39" t="n">
        <f aca="false">-CD_Maint_Capex</f>
        <v>-1642817.896</v>
      </c>
      <c r="E11" s="39" t="n">
        <f aca="false">-CD_Maint_Capex</f>
        <v>-1907471.81014</v>
      </c>
      <c r="F11" s="39" t="n">
        <f aca="false">-CD_Maint_Capex</f>
        <v>-2204777.61642981</v>
      </c>
      <c r="G11" s="39" t="n">
        <f aca="false">-CD_Maint_Capex</f>
        <v>-2538296.16266832</v>
      </c>
    </row>
    <row r="12" customFormat="false" ht="15" hidden="false" customHeight="false" outlineLevel="0" collapsed="false">
      <c r="A12" s="5"/>
      <c r="B12" s="45" t="s">
        <v>280</v>
      </c>
      <c r="C12" s="46" t="n">
        <f aca="false">C9+C10+C11</f>
        <v>21180756.2666667</v>
      </c>
      <c r="D12" s="46" t="n">
        <f aca="false">D9+D10+D11</f>
        <v>25374333.1176556</v>
      </c>
      <c r="E12" s="46" t="n">
        <f aca="false">E9+E10+E11</f>
        <v>30283432.1706315</v>
      </c>
      <c r="F12" s="46" t="n">
        <f aca="false">F9+F10+F11</f>
        <v>35987865.0733866</v>
      </c>
      <c r="G12" s="46" t="n">
        <f aca="false">G9+G10+G11</f>
        <v>42575733.6247372</v>
      </c>
    </row>
    <row r="13" customFormat="false" ht="15" hidden="false" customHeight="false" outlineLevel="0" collapsed="false">
      <c r="A13" s="5"/>
      <c r="B13" s="5"/>
      <c r="C13" s="5"/>
      <c r="D13" s="5"/>
      <c r="E13" s="5"/>
      <c r="F13" s="5"/>
      <c r="G13" s="5"/>
    </row>
    <row r="14" customFormat="false" ht="15" hidden="false" customHeight="false" outlineLevel="0" collapsed="false">
      <c r="A14" s="5"/>
      <c r="B14" s="32" t="s">
        <v>281</v>
      </c>
      <c r="C14" s="16"/>
      <c r="D14" s="16"/>
      <c r="E14" s="16"/>
      <c r="F14" s="16"/>
      <c r="G14" s="16"/>
    </row>
    <row r="15" customFormat="false" ht="15" hidden="false" customHeight="false" outlineLevel="0" collapsed="false">
      <c r="A15" s="5"/>
      <c r="B15" s="7" t="s">
        <v>206</v>
      </c>
      <c r="C15" s="49" t="n">
        <f aca="false">IFERROR(OX_EBITDA/RB_Total_Rev,0)</f>
        <v>0.557115337890545</v>
      </c>
      <c r="D15" s="49" t="n">
        <f aca="false">IFERROR(OX_EBITDA/RB_Total_Rev,0)</f>
        <v>0.574441732889426</v>
      </c>
      <c r="E15" s="49" t="n">
        <f aca="false">IFERROR(OX_EBITDA/RB_Total_Rev,0)</f>
        <v>0.591222051291929</v>
      </c>
      <c r="F15" s="49" t="n">
        <f aca="false">IFERROR(OX_EBITDA/RB_Total_Rev,0)</f>
        <v>0.607353119350854</v>
      </c>
      <c r="G15" s="49" t="n">
        <f aca="false">IFERROR(OX_EBITDA/RB_Total_Rev,0)</f>
        <v>0.62277639111991</v>
      </c>
    </row>
    <row r="16" customFormat="false" ht="15" hidden="false" customHeight="false" outlineLevel="0" collapsed="false">
      <c r="A16" s="5"/>
      <c r="B16" s="7" t="s">
        <v>197</v>
      </c>
      <c r="C16" s="49" t="n">
        <f aca="false">IFERROR(SC_TCF/RB_Total_Rev,0)</f>
        <v>0.682115337890545</v>
      </c>
      <c r="D16" s="49" t="n">
        <f aca="false">IFERROR(SC_TCF/RB_Total_Rev,0)</f>
        <v>0.699441732889426</v>
      </c>
      <c r="E16" s="49" t="n">
        <f aca="false">IFERROR(SC_TCF/RB_Total_Rev,0)</f>
        <v>0.716222051291929</v>
      </c>
      <c r="F16" s="49" t="n">
        <f aca="false">IFERROR(SC_TCF/RB_Total_Rev,0)</f>
        <v>0.732353119350854</v>
      </c>
      <c r="G16" s="49" t="n">
        <f aca="false">IFERROR(SC_TCF/RB_Total_Rev,0)</f>
        <v>0.74777639111991</v>
      </c>
    </row>
    <row r="17" customFormat="false" ht="15" hidden="false" customHeight="false" outlineLevel="0" collapsed="false">
      <c r="A17" s="5"/>
      <c r="B17" s="7" t="s">
        <v>282</v>
      </c>
      <c r="C17" s="49" t="n">
        <f aca="false">IFERROR(IS_Net_Income/RB_Total_Rev,0)</f>
        <v>0.0281954921404447</v>
      </c>
      <c r="D17" s="49" t="n">
        <f aca="false">IFERROR(IS_Net_Income/RB_Total_Rev,0)</f>
        <v>0.0718153247009876</v>
      </c>
      <c r="E17" s="49" t="n">
        <f aca="false">IFERROR(IS_Net_Income/RB_Total_Rev,0)</f>
        <v>0.113378254024453</v>
      </c>
      <c r="F17" s="49" t="n">
        <f aca="false">IFERROR(IS_Net_Income/RB_Total_Rev,0)</f>
        <v>0.152612570854401</v>
      </c>
      <c r="G17" s="49" t="n">
        <f aca="false">IFERROR(IS_Net_Income/RB_Total_Rev,0)</f>
        <v>0.189403397279223</v>
      </c>
    </row>
    <row r="18" customFormat="false" ht="15" hidden="false" customHeight="false" outlineLevel="0" collapsed="false">
      <c r="A18" s="5"/>
      <c r="B18" s="7" t="s">
        <v>283</v>
      </c>
      <c r="C18" s="43" t="n">
        <f aca="false">IFERROR((BS_Total_Equity+BS_Debt-BS_Cash)/OX_EBITDA,0)</f>
        <v>9.47516077197924</v>
      </c>
      <c r="D18" s="43" t="n">
        <f aca="false">IFERROR((BS_Total_Equity+BS_Debt-BS_Cash)/OX_EBITDA,0)</f>
        <v>8.37132353220311</v>
      </c>
      <c r="E18" s="43" t="n">
        <f aca="false">IFERROR((BS_Total_Equity+BS_Debt-BS_Cash)/OX_EBITDA,0)</f>
        <v>7.40680220369</v>
      </c>
      <c r="F18" s="43" t="n">
        <f aca="false">IFERROR((BS_Total_Equity+BS_Debt-BS_Cash)/OX_EBITDA,0)</f>
        <v>6.56519085319733</v>
      </c>
      <c r="G18" s="43" t="n">
        <f aca="false">IFERROR((BS_Total_Equity+BS_Debt-BS_Cash)/OX_EBITDA,0)</f>
        <v>5.83088921994656</v>
      </c>
    </row>
    <row r="19" customFormat="false" ht="15" hidden="false" customHeight="false" outlineLevel="0" collapsed="false">
      <c r="A19" s="5"/>
      <c r="B19" s="7" t="s">
        <v>231</v>
      </c>
      <c r="C19" s="43" t="n">
        <f aca="false">IFERROR((BS_Debt-BS_Cash)/OX_EBITDA,0)</f>
        <v>4.67289877285977</v>
      </c>
      <c r="D19" s="43" t="n">
        <f aca="false">IFERROR((BS_Debt-BS_Cash)/OX_EBITDA,0)</f>
        <v>4.33078727259064</v>
      </c>
      <c r="E19" s="43" t="n">
        <f aca="false">IFERROR((BS_Debt-BS_Cash)/OX_EBITDA,0)</f>
        <v>3.94893492143706</v>
      </c>
      <c r="F19" s="43" t="n">
        <f aca="false">IFERROR((BS_Debt-BS_Cash)/OX_EBITDA,0)</f>
        <v>3.55254918620652</v>
      </c>
      <c r="G19" s="43" t="n">
        <f aca="false">IFERROR((BS_Debt-BS_Cash)/OX_EBITDA,0)</f>
        <v>3.15724745193599</v>
      </c>
    </row>
    <row r="20" customFormat="false" ht="15" hidden="false" customHeight="false" outlineLevel="0" collapsed="false">
      <c r="A20" s="5"/>
      <c r="B20" s="7" t="s">
        <v>284</v>
      </c>
      <c r="C20" s="49" t="n">
        <f aca="false">IFERROR(CD_EBIT*(1-Tax_Rate)/(BS_Total_Equity+BS_Debt-BS_Cash),0)</f>
        <v>0.026159771345268</v>
      </c>
      <c r="D20" s="49" t="n">
        <f aca="false">IFERROR(CD_EBIT*(1-Tax_Rate)/(BS_Total_Equity+BS_Debt-BS_Cash),0)</f>
        <v>0.036669466177551</v>
      </c>
      <c r="E20" s="49" t="n">
        <f aca="false">IFERROR(CD_EBIT*(1-Tax_Rate)/(BS_Total_Equity+BS_Debt-BS_Cash),0)</f>
        <v>0.048417004921956</v>
      </c>
      <c r="F20" s="49" t="n">
        <f aca="false">IFERROR(CD_EBIT*(1-Tax_Rate)/(BS_Total_Equity+BS_Debt-BS_Cash),0)</f>
        <v>0.0614873872435211</v>
      </c>
      <c r="G20" s="49" t="n">
        <f aca="false">IFERROR(CD_EBIT*(1-Tax_Rate)/(BS_Total_Equity+BS_Debt-BS_Cash),0)</f>
        <v>0.075973191861285</v>
      </c>
    </row>
    <row r="21" customFormat="false" ht="15" hidden="false" customHeight="false" outlineLevel="0" collapsed="false">
      <c r="A21" s="5"/>
      <c r="B21" s="7" t="s">
        <v>156</v>
      </c>
      <c r="C21" s="49" t="n">
        <f aca="false">IFERROR(-CF_Dividends/IS_Net_Income,0)</f>
        <v>0.6</v>
      </c>
      <c r="D21" s="49" t="n">
        <f aca="false">IFERROR(-CF_Dividends/IS_Net_Income,0)</f>
        <v>0.6</v>
      </c>
      <c r="E21" s="49" t="n">
        <f aca="false">IFERROR(-CF_Dividends/IS_Net_Income,0)</f>
        <v>0.6</v>
      </c>
      <c r="F21" s="49" t="n">
        <f aca="false">IFERROR(-CF_Dividends/IS_Net_Income,0)</f>
        <v>0.6</v>
      </c>
      <c r="G21" s="49" t="n">
        <f aca="false">IFERROR(-CF_Dividends/IS_Net_Income,0)</f>
        <v>0.6</v>
      </c>
    </row>
    <row r="22" customFormat="false" ht="15" hidden="false" customHeight="false" outlineLevel="0" collapsed="false">
      <c r="A22" s="5"/>
      <c r="B22" s="7" t="s">
        <v>285</v>
      </c>
      <c r="C22" s="49" t="n">
        <f aca="false">IFERROR(C12/(BS_Total_Equity+BS_Debt-BS_Cash),0)</f>
        <v>0.0712647604898545</v>
      </c>
      <c r="D22" s="49" t="n">
        <f aca="false">IFERROR(D12/(BS_Total_Equity+BS_Debt-BS_Cash),0)</f>
        <v>0.0802980705949849</v>
      </c>
      <c r="E22" s="49" t="n">
        <f aca="false">IFERROR(E12/(BS_Total_Equity+BS_Debt-BS_Cash),0)</f>
        <v>0.0906370169567243</v>
      </c>
      <c r="F22" s="49" t="n">
        <f aca="false">IFERROR(F12/(BS_Total_Equity+BS_Debt-BS_Cash),0)</f>
        <v>0.10233935581672</v>
      </c>
      <c r="G22" s="49" t="n">
        <f aca="false">IFERROR(G12/(BS_Total_Equity+BS_Debt-BS_Cash),0)</f>
        <v>0.115476317144129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0" t="s">
        <v>46</v>
      </c>
    </row>
    <row r="3" customFormat="false" ht="3.75" hidden="false" customHeight="true" outlineLevel="0" collapsed="false">
      <c r="A3" s="5"/>
      <c r="B3" s="21"/>
    </row>
    <row r="4" customFormat="false" ht="15" hidden="false" customHeight="false" outlineLevel="0" collapsed="false">
      <c r="A4" s="5"/>
      <c r="B4" s="5"/>
    </row>
    <row r="5" customFormat="false" ht="19.5" hidden="false" customHeight="true" outlineLevel="0" collapsed="false">
      <c r="A5" s="5"/>
      <c r="B5" s="22" t="s">
        <v>47</v>
      </c>
    </row>
    <row r="6" customFormat="false" ht="48" hidden="false" customHeight="true" outlineLevel="0" collapsed="false">
      <c r="A6" s="5"/>
      <c r="B6" s="23" t="s">
        <v>48</v>
      </c>
    </row>
    <row r="7" customFormat="false" ht="15" hidden="false" customHeight="false" outlineLevel="0" collapsed="false">
      <c r="A7" s="5"/>
      <c r="B7" s="5"/>
    </row>
    <row r="8" customFormat="false" ht="19.5" hidden="false" customHeight="true" outlineLevel="0" collapsed="false">
      <c r="A8" s="5"/>
      <c r="B8" s="22" t="s">
        <v>49</v>
      </c>
    </row>
    <row r="9" customFormat="false" ht="61.5" hidden="false" customHeight="true" outlineLevel="0" collapsed="false">
      <c r="A9" s="5"/>
      <c r="B9" s="23" t="s">
        <v>50</v>
      </c>
    </row>
    <row r="10" customFormat="false" ht="15" hidden="false" customHeight="false" outlineLevel="0" collapsed="false">
      <c r="A10" s="5"/>
      <c r="B10" s="5"/>
    </row>
    <row r="11" customFormat="false" ht="19.5" hidden="false" customHeight="true" outlineLevel="0" collapsed="false">
      <c r="A11" s="5"/>
      <c r="B11" s="22" t="s">
        <v>51</v>
      </c>
    </row>
    <row r="12" customFormat="false" ht="75.75" hidden="false" customHeight="true" outlineLevel="0" collapsed="false">
      <c r="A12" s="5"/>
      <c r="B12" s="23" t="s">
        <v>52</v>
      </c>
    </row>
    <row r="13" customFormat="false" ht="15" hidden="false" customHeight="false" outlineLevel="0" collapsed="false">
      <c r="A13" s="5"/>
      <c r="B13" s="5"/>
    </row>
    <row r="14" customFormat="false" ht="19.5" hidden="false" customHeight="true" outlineLevel="0" collapsed="false">
      <c r="A14" s="5"/>
      <c r="B14" s="22" t="s">
        <v>53</v>
      </c>
    </row>
    <row r="15" customFormat="false" ht="61.5" hidden="false" customHeight="true" outlineLevel="0" collapsed="false">
      <c r="A15" s="5"/>
      <c r="B15" s="23" t="s">
        <v>54</v>
      </c>
    </row>
    <row r="16" customFormat="false" ht="15" hidden="false" customHeight="false" outlineLevel="0" collapsed="false">
      <c r="A16" s="5"/>
      <c r="B16" s="5"/>
    </row>
    <row r="17" customFormat="false" ht="19.5" hidden="false" customHeight="true" outlineLevel="0" collapsed="false">
      <c r="A17" s="5"/>
      <c r="B17" s="22" t="s">
        <v>55</v>
      </c>
    </row>
    <row r="18" customFormat="false" ht="33.75" hidden="false" customHeight="true" outlineLevel="0" collapsed="false">
      <c r="A18" s="5"/>
      <c r="B18" s="23" t="s">
        <v>56</v>
      </c>
    </row>
    <row r="19" customFormat="false" ht="15" hidden="false" customHeight="false" outlineLevel="0" collapsed="false">
      <c r="A19" s="5"/>
      <c r="B19" s="5"/>
    </row>
    <row r="20" customFormat="false" ht="19.5" hidden="false" customHeight="true" outlineLevel="0" collapsed="false">
      <c r="A20" s="5"/>
      <c r="B20" s="22" t="s">
        <v>57</v>
      </c>
    </row>
    <row r="21" customFormat="false" ht="33.75" hidden="false" customHeight="true" outlineLevel="0" collapsed="false">
      <c r="A21" s="5"/>
      <c r="B21" s="23" t="s">
        <v>58</v>
      </c>
    </row>
    <row r="22" customFormat="false" ht="15" hidden="false" customHeight="false" outlineLevel="0" collapsed="false">
      <c r="A22" s="5"/>
      <c r="B22" s="5"/>
    </row>
    <row r="23" customFormat="false" ht="21.75" hidden="false" customHeight="true" outlineLevel="0" collapsed="false">
      <c r="A23" s="5"/>
      <c r="B23" s="24" t="s">
        <v>59</v>
      </c>
    </row>
    <row r="24" customFormat="false" ht="15" hidden="false" customHeight="false" outlineLevel="0" collapsed="false">
      <c r="A24" s="5"/>
      <c r="B24" s="5"/>
    </row>
    <row r="25" customFormat="false" ht="18" hidden="false" customHeight="true" outlineLevel="0" collapsed="false">
      <c r="A25" s="5"/>
      <c r="B25" s="25" t="s">
        <v>60</v>
      </c>
    </row>
    <row r="26" customFormat="false" ht="201.75" hidden="false" customHeight="true" outlineLevel="0" collapsed="false">
      <c r="A26" s="5"/>
      <c r="B26" s="26" t="s">
        <v>61</v>
      </c>
    </row>
    <row r="27" customFormat="false" ht="15" hidden="false" customHeight="false" outlineLevel="0" collapsed="false">
      <c r="A27" s="5"/>
      <c r="B27" s="5"/>
    </row>
    <row r="28" customFormat="false" ht="18" hidden="false" customHeight="true" outlineLevel="0" collapsed="false">
      <c r="A28" s="5"/>
      <c r="B28" s="27" t="s">
        <v>62</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E5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8"/>
    <col collapsed="false" customWidth="true" hidden="false" outlineLevel="0" max="4" min="4" style="0" width="12"/>
    <col collapsed="false" customWidth="true" hidden="false" outlineLevel="0" max="5" min="5" style="0" width="35"/>
  </cols>
  <sheetData>
    <row r="1" customFormat="false" ht="15" hidden="false" customHeight="false" outlineLevel="0" collapsed="false">
      <c r="A1" s="5"/>
      <c r="B1" s="5"/>
      <c r="C1" s="5"/>
      <c r="D1" s="5"/>
      <c r="E1" s="5"/>
    </row>
    <row r="2" customFormat="false" ht="22.05" hidden="false" customHeight="false" outlineLevel="0" collapsed="false">
      <c r="A2" s="5"/>
      <c r="B2" s="28" t="s">
        <v>6</v>
      </c>
      <c r="C2" s="5"/>
      <c r="D2" s="5"/>
      <c r="E2" s="5"/>
    </row>
    <row r="3" customFormat="false" ht="15" hidden="false" customHeight="false" outlineLevel="0" collapsed="false">
      <c r="A3" s="5"/>
      <c r="B3" s="29" t="s">
        <v>63</v>
      </c>
      <c r="C3" s="5"/>
      <c r="D3" s="5"/>
      <c r="E3" s="5"/>
    </row>
    <row r="4" customFormat="false" ht="15" hidden="false" customHeight="false" outlineLevel="0" collapsed="false">
      <c r="A4" s="5"/>
      <c r="B4" s="5"/>
      <c r="C4" s="5"/>
      <c r="D4" s="5"/>
      <c r="E4" s="5"/>
    </row>
    <row r="5" customFormat="false" ht="15" hidden="false" customHeight="false" outlineLevel="0" collapsed="false">
      <c r="A5" s="5"/>
      <c r="B5" s="30" t="s">
        <v>64</v>
      </c>
      <c r="C5" s="31" t="s">
        <v>65</v>
      </c>
      <c r="D5" s="31" t="s">
        <v>66</v>
      </c>
      <c r="E5" s="31" t="s">
        <v>67</v>
      </c>
    </row>
    <row r="6" customFormat="false" ht="15" hidden="false" customHeight="false" outlineLevel="0" collapsed="false">
      <c r="A6" s="5"/>
      <c r="B6" s="32" t="s">
        <v>68</v>
      </c>
      <c r="C6" s="16"/>
      <c r="D6" s="16"/>
      <c r="E6" s="16"/>
    </row>
    <row r="7" customFormat="false" ht="15" hidden="false" customHeight="false" outlineLevel="0" collapsed="false">
      <c r="A7" s="5"/>
      <c r="B7" s="7" t="s">
        <v>69</v>
      </c>
      <c r="C7" s="33" t="n">
        <v>2025</v>
      </c>
      <c r="D7" s="34" t="s">
        <v>70</v>
      </c>
      <c r="E7" s="8" t="s">
        <v>71</v>
      </c>
    </row>
    <row r="8" customFormat="false" ht="15" hidden="false" customHeight="false" outlineLevel="0" collapsed="false">
      <c r="A8" s="5"/>
      <c r="B8" s="7" t="s">
        <v>72</v>
      </c>
      <c r="C8" s="33" t="n">
        <v>1500</v>
      </c>
      <c r="D8" s="34" t="s">
        <v>73</v>
      </c>
      <c r="E8" s="8" t="s">
        <v>74</v>
      </c>
    </row>
    <row r="9" customFormat="false" ht="15" hidden="false" customHeight="false" outlineLevel="0" collapsed="false">
      <c r="A9" s="5"/>
      <c r="B9" s="7" t="s">
        <v>75</v>
      </c>
      <c r="C9" s="33" t="n">
        <v>100</v>
      </c>
      <c r="D9" s="34" t="s">
        <v>73</v>
      </c>
      <c r="E9" s="8" t="s">
        <v>76</v>
      </c>
    </row>
    <row r="10" customFormat="false" ht="15" hidden="false" customHeight="false" outlineLevel="0" collapsed="false">
      <c r="A10" s="5"/>
      <c r="B10" s="7" t="s">
        <v>77</v>
      </c>
      <c r="C10" s="33" t="n">
        <v>50</v>
      </c>
      <c r="D10" s="34" t="s">
        <v>73</v>
      </c>
      <c r="E10" s="8" t="s">
        <v>78</v>
      </c>
    </row>
    <row r="11" customFormat="false" ht="15" hidden="false" customHeight="false" outlineLevel="0" collapsed="false">
      <c r="A11" s="5"/>
      <c r="B11" s="7" t="s">
        <v>79</v>
      </c>
      <c r="C11" s="33" t="n">
        <v>10</v>
      </c>
      <c r="D11" s="34" t="s">
        <v>73</v>
      </c>
      <c r="E11" s="8" t="s">
        <v>80</v>
      </c>
    </row>
    <row r="12" customFormat="false" ht="15" hidden="false" customHeight="false" outlineLevel="0" collapsed="false">
      <c r="A12" s="5"/>
      <c r="B12" s="7" t="s">
        <v>81</v>
      </c>
      <c r="C12" s="35" t="n">
        <v>1.6</v>
      </c>
      <c r="D12" s="34" t="s">
        <v>82</v>
      </c>
      <c r="E12" s="8" t="s">
        <v>83</v>
      </c>
    </row>
    <row r="13" customFormat="false" ht="15" hidden="false" customHeight="false" outlineLevel="0" collapsed="false">
      <c r="A13" s="5"/>
      <c r="B13" s="7" t="s">
        <v>84</v>
      </c>
      <c r="C13" s="36" t="n">
        <v>0.05</v>
      </c>
      <c r="D13" s="34" t="s">
        <v>85</v>
      </c>
      <c r="E13" s="8" t="s">
        <v>86</v>
      </c>
    </row>
    <row r="14" customFormat="false" ht="15" hidden="false" customHeight="false" outlineLevel="0" collapsed="false">
      <c r="A14" s="5"/>
      <c r="B14" s="32" t="s">
        <v>87</v>
      </c>
      <c r="C14" s="16"/>
      <c r="D14" s="16"/>
      <c r="E14" s="16"/>
    </row>
    <row r="15" customFormat="false" ht="15" hidden="false" customHeight="false" outlineLevel="0" collapsed="false">
      <c r="A15" s="5"/>
      <c r="B15" s="7" t="s">
        <v>88</v>
      </c>
      <c r="C15" s="33" t="n">
        <v>2000</v>
      </c>
      <c r="D15" s="34" t="s">
        <v>89</v>
      </c>
      <c r="E15" s="8" t="s">
        <v>90</v>
      </c>
    </row>
    <row r="16" customFormat="false" ht="15" hidden="false" customHeight="false" outlineLevel="0" collapsed="false">
      <c r="A16" s="5"/>
      <c r="B16" s="7" t="s">
        <v>91</v>
      </c>
      <c r="C16" s="36" t="n">
        <v>0.3</v>
      </c>
      <c r="D16" s="34" t="s">
        <v>92</v>
      </c>
      <c r="E16" s="8" t="s">
        <v>93</v>
      </c>
    </row>
    <row r="17" customFormat="false" ht="15" hidden="false" customHeight="false" outlineLevel="0" collapsed="false">
      <c r="A17" s="5"/>
      <c r="B17" s="7" t="s">
        <v>94</v>
      </c>
      <c r="C17" s="36" t="n">
        <v>0.03</v>
      </c>
      <c r="D17" s="34" t="s">
        <v>85</v>
      </c>
      <c r="E17" s="8" t="s">
        <v>95</v>
      </c>
    </row>
    <row r="18" customFormat="false" ht="15" hidden="false" customHeight="false" outlineLevel="0" collapsed="false">
      <c r="A18" s="5"/>
      <c r="B18" s="7" t="s">
        <v>96</v>
      </c>
      <c r="C18" s="36" t="n">
        <v>0.55</v>
      </c>
      <c r="D18" s="34" t="s">
        <v>92</v>
      </c>
      <c r="E18" s="8" t="s">
        <v>97</v>
      </c>
    </row>
    <row r="19" customFormat="false" ht="15" hidden="false" customHeight="false" outlineLevel="0" collapsed="false">
      <c r="A19" s="5"/>
      <c r="B19" s="32" t="s">
        <v>98</v>
      </c>
      <c r="C19" s="16"/>
      <c r="D19" s="16"/>
      <c r="E19" s="16"/>
    </row>
    <row r="20" customFormat="false" ht="15" hidden="false" customHeight="false" outlineLevel="0" collapsed="false">
      <c r="A20" s="5"/>
      <c r="B20" s="7" t="s">
        <v>99</v>
      </c>
      <c r="C20" s="36" t="n">
        <v>0.1</v>
      </c>
      <c r="D20" s="34" t="s">
        <v>85</v>
      </c>
      <c r="E20" s="8" t="s">
        <v>100</v>
      </c>
    </row>
    <row r="21" customFormat="false" ht="15" hidden="false" customHeight="false" outlineLevel="0" collapsed="false">
      <c r="A21" s="5"/>
      <c r="B21" s="7" t="s">
        <v>101</v>
      </c>
      <c r="C21" s="33" t="n">
        <v>300</v>
      </c>
      <c r="D21" s="34" t="s">
        <v>89</v>
      </c>
      <c r="E21" s="8" t="s">
        <v>102</v>
      </c>
    </row>
    <row r="22" customFormat="false" ht="15" hidden="false" customHeight="false" outlineLevel="0" collapsed="false">
      <c r="A22" s="5"/>
      <c r="B22" s="32" t="s">
        <v>103</v>
      </c>
      <c r="C22" s="16"/>
      <c r="D22" s="16"/>
      <c r="E22" s="16"/>
    </row>
    <row r="23" customFormat="false" ht="15" hidden="false" customHeight="false" outlineLevel="0" collapsed="false">
      <c r="A23" s="5"/>
      <c r="B23" s="7" t="s">
        <v>104</v>
      </c>
      <c r="C23" s="33" t="n">
        <v>25000</v>
      </c>
      <c r="D23" s="34" t="s">
        <v>105</v>
      </c>
      <c r="E23" s="8" t="s">
        <v>106</v>
      </c>
    </row>
    <row r="24" customFormat="false" ht="15" hidden="false" customHeight="false" outlineLevel="0" collapsed="false">
      <c r="A24" s="5"/>
      <c r="B24" s="7" t="s">
        <v>107</v>
      </c>
      <c r="C24" s="33" t="n">
        <v>5000</v>
      </c>
      <c r="D24" s="34" t="s">
        <v>105</v>
      </c>
      <c r="E24" s="8" t="s">
        <v>108</v>
      </c>
    </row>
    <row r="25" customFormat="false" ht="15" hidden="false" customHeight="false" outlineLevel="0" collapsed="false">
      <c r="A25" s="5"/>
      <c r="B25" s="32" t="s">
        <v>109</v>
      </c>
      <c r="C25" s="16"/>
      <c r="D25" s="16"/>
      <c r="E25" s="16"/>
    </row>
    <row r="26" customFormat="false" ht="15" hidden="false" customHeight="false" outlineLevel="0" collapsed="false">
      <c r="A26" s="5"/>
      <c r="B26" s="7" t="s">
        <v>110</v>
      </c>
      <c r="C26" s="33" t="n">
        <v>500</v>
      </c>
      <c r="D26" s="34" t="s">
        <v>89</v>
      </c>
      <c r="E26" s="8" t="s">
        <v>111</v>
      </c>
    </row>
    <row r="27" customFormat="false" ht="15" hidden="false" customHeight="false" outlineLevel="0" collapsed="false">
      <c r="A27" s="5"/>
      <c r="B27" s="7" t="s">
        <v>112</v>
      </c>
      <c r="C27" s="36" t="n">
        <v>0.025</v>
      </c>
      <c r="D27" s="34" t="s">
        <v>85</v>
      </c>
      <c r="E27" s="8" t="s">
        <v>113</v>
      </c>
    </row>
    <row r="28" customFormat="false" ht="15" hidden="false" customHeight="false" outlineLevel="0" collapsed="false">
      <c r="A28" s="5"/>
      <c r="B28" s="7" t="s">
        <v>114</v>
      </c>
      <c r="C28" s="33" t="n">
        <v>200</v>
      </c>
      <c r="D28" s="34" t="s">
        <v>89</v>
      </c>
      <c r="E28" s="8" t="s">
        <v>115</v>
      </c>
    </row>
    <row r="29" customFormat="false" ht="15" hidden="false" customHeight="false" outlineLevel="0" collapsed="false">
      <c r="A29" s="5"/>
      <c r="B29" s="7" t="s">
        <v>116</v>
      </c>
      <c r="C29" s="33" t="n">
        <v>100</v>
      </c>
      <c r="D29" s="34" t="s">
        <v>89</v>
      </c>
      <c r="E29" s="8" t="s">
        <v>117</v>
      </c>
    </row>
    <row r="30" customFormat="false" ht="15" hidden="false" customHeight="false" outlineLevel="0" collapsed="false">
      <c r="A30" s="5"/>
      <c r="B30" s="7" t="s">
        <v>118</v>
      </c>
      <c r="C30" s="33" t="n">
        <v>150</v>
      </c>
      <c r="D30" s="34" t="s">
        <v>89</v>
      </c>
      <c r="E30" s="8" t="s">
        <v>119</v>
      </c>
    </row>
    <row r="31" customFormat="false" ht="15" hidden="false" customHeight="false" outlineLevel="0" collapsed="false">
      <c r="A31" s="5"/>
      <c r="B31" s="32" t="s">
        <v>120</v>
      </c>
      <c r="C31" s="16"/>
      <c r="D31" s="16"/>
      <c r="E31" s="16"/>
    </row>
    <row r="32" customFormat="false" ht="15" hidden="false" customHeight="false" outlineLevel="0" collapsed="false">
      <c r="A32" s="5"/>
      <c r="B32" s="7" t="s">
        <v>121</v>
      </c>
      <c r="C32" s="36" t="n">
        <v>0.1</v>
      </c>
      <c r="D32" s="34" t="s">
        <v>92</v>
      </c>
      <c r="E32" s="8" t="s">
        <v>122</v>
      </c>
    </row>
    <row r="33" customFormat="false" ht="15" hidden="false" customHeight="false" outlineLevel="0" collapsed="false">
      <c r="A33" s="5"/>
      <c r="B33" s="7" t="s">
        <v>123</v>
      </c>
      <c r="C33" s="36" t="n">
        <v>0.015</v>
      </c>
      <c r="D33" s="34" t="s">
        <v>92</v>
      </c>
      <c r="E33" s="8" t="s">
        <v>124</v>
      </c>
    </row>
    <row r="34" customFormat="false" ht="15" hidden="false" customHeight="false" outlineLevel="0" collapsed="false">
      <c r="A34" s="5"/>
      <c r="B34" s="7" t="s">
        <v>125</v>
      </c>
      <c r="C34" s="36" t="n">
        <v>0.01</v>
      </c>
      <c r="D34" s="34" t="s">
        <v>92</v>
      </c>
      <c r="E34" s="8" t="s">
        <v>126</v>
      </c>
    </row>
    <row r="35" customFormat="false" ht="15" hidden="false" customHeight="false" outlineLevel="0" collapsed="false">
      <c r="A35" s="5"/>
      <c r="B35" s="32" t="s">
        <v>127</v>
      </c>
      <c r="C35" s="16"/>
      <c r="D35" s="16"/>
      <c r="E35" s="16"/>
    </row>
    <row r="36" customFormat="false" ht="15" hidden="false" customHeight="false" outlineLevel="0" collapsed="false">
      <c r="A36" s="5"/>
      <c r="B36" s="7" t="s">
        <v>128</v>
      </c>
      <c r="C36" s="33" t="n">
        <v>250000</v>
      </c>
      <c r="D36" s="34" t="s">
        <v>105</v>
      </c>
      <c r="E36" s="8" t="s">
        <v>129</v>
      </c>
    </row>
    <row r="37" customFormat="false" ht="15" hidden="false" customHeight="false" outlineLevel="0" collapsed="false">
      <c r="A37" s="5"/>
      <c r="B37" s="7" t="s">
        <v>130</v>
      </c>
      <c r="C37" s="33" t="n">
        <v>75000</v>
      </c>
      <c r="D37" s="34" t="s">
        <v>105</v>
      </c>
      <c r="E37" s="8" t="s">
        <v>131</v>
      </c>
    </row>
    <row r="38" customFormat="false" ht="15" hidden="false" customHeight="false" outlineLevel="0" collapsed="false">
      <c r="A38" s="5"/>
      <c r="B38" s="7" t="s">
        <v>132</v>
      </c>
      <c r="C38" s="33" t="n">
        <v>30000</v>
      </c>
      <c r="D38" s="34" t="s">
        <v>105</v>
      </c>
      <c r="E38" s="8" t="s">
        <v>133</v>
      </c>
    </row>
    <row r="39" customFormat="false" ht="15" hidden="false" customHeight="false" outlineLevel="0" collapsed="false">
      <c r="A39" s="5"/>
      <c r="B39" s="7" t="s">
        <v>134</v>
      </c>
      <c r="C39" s="36" t="n">
        <v>0.025</v>
      </c>
      <c r="D39" s="34" t="s">
        <v>92</v>
      </c>
      <c r="E39" s="8" t="s">
        <v>135</v>
      </c>
    </row>
    <row r="40" customFormat="false" ht="15" hidden="false" customHeight="false" outlineLevel="0" collapsed="false">
      <c r="A40" s="5"/>
      <c r="B40" s="32" t="s">
        <v>136</v>
      </c>
      <c r="C40" s="16"/>
      <c r="D40" s="16"/>
      <c r="E40" s="16"/>
    </row>
    <row r="41" customFormat="false" ht="15" hidden="false" customHeight="false" outlineLevel="0" collapsed="false">
      <c r="A41" s="5"/>
      <c r="B41" s="7" t="s">
        <v>137</v>
      </c>
      <c r="C41" s="33" t="n">
        <v>20</v>
      </c>
      <c r="D41" s="34" t="s">
        <v>138</v>
      </c>
      <c r="E41" s="8" t="s">
        <v>139</v>
      </c>
    </row>
    <row r="42" customFormat="false" ht="15" hidden="false" customHeight="false" outlineLevel="0" collapsed="false">
      <c r="A42" s="5"/>
      <c r="B42" s="7" t="s">
        <v>140</v>
      </c>
      <c r="C42" s="33" t="n">
        <v>10</v>
      </c>
      <c r="D42" s="34" t="s">
        <v>138</v>
      </c>
      <c r="E42" s="8" t="s">
        <v>141</v>
      </c>
    </row>
    <row r="43" customFormat="false" ht="15" hidden="false" customHeight="false" outlineLevel="0" collapsed="false">
      <c r="A43" s="5"/>
      <c r="B43" s="32" t="s">
        <v>142</v>
      </c>
      <c r="C43" s="16"/>
      <c r="D43" s="16"/>
      <c r="E43" s="16"/>
    </row>
    <row r="44" customFormat="false" ht="15" hidden="false" customHeight="false" outlineLevel="0" collapsed="false">
      <c r="A44" s="5"/>
      <c r="B44" s="7" t="s">
        <v>143</v>
      </c>
      <c r="C44" s="33" t="n">
        <v>150000000</v>
      </c>
      <c r="D44" s="34" t="s">
        <v>105</v>
      </c>
      <c r="E44" s="8" t="s">
        <v>144</v>
      </c>
    </row>
    <row r="45" customFormat="false" ht="15" hidden="false" customHeight="false" outlineLevel="0" collapsed="false">
      <c r="A45" s="5"/>
      <c r="B45" s="7" t="s">
        <v>145</v>
      </c>
      <c r="C45" s="36" t="n">
        <v>0.055</v>
      </c>
      <c r="D45" s="34" t="s">
        <v>92</v>
      </c>
      <c r="E45" s="8" t="s">
        <v>146</v>
      </c>
    </row>
    <row r="46" customFormat="false" ht="15" hidden="false" customHeight="false" outlineLevel="0" collapsed="false">
      <c r="A46" s="5"/>
      <c r="B46" s="7" t="s">
        <v>147</v>
      </c>
      <c r="C46" s="36" t="n">
        <v>0.05</v>
      </c>
      <c r="D46" s="34" t="s">
        <v>85</v>
      </c>
      <c r="E46" s="8" t="s">
        <v>148</v>
      </c>
    </row>
    <row r="47" customFormat="false" ht="15" hidden="false" customHeight="false" outlineLevel="0" collapsed="false">
      <c r="A47" s="5"/>
      <c r="B47" s="7" t="s">
        <v>149</v>
      </c>
      <c r="C47" s="36" t="n">
        <v>0.6</v>
      </c>
      <c r="D47" s="34" t="s">
        <v>92</v>
      </c>
      <c r="E47" s="8" t="s">
        <v>150</v>
      </c>
    </row>
    <row r="48" customFormat="false" ht="15" hidden="false" customHeight="false" outlineLevel="0" collapsed="false">
      <c r="A48" s="5"/>
      <c r="B48" s="32" t="s">
        <v>151</v>
      </c>
      <c r="C48" s="16"/>
      <c r="D48" s="16"/>
      <c r="E48" s="16"/>
    </row>
    <row r="49" customFormat="false" ht="15" hidden="false" customHeight="false" outlineLevel="0" collapsed="false">
      <c r="A49" s="5"/>
      <c r="B49" s="7" t="s">
        <v>152</v>
      </c>
      <c r="C49" s="36" t="n">
        <v>0.25</v>
      </c>
      <c r="D49" s="34" t="s">
        <v>92</v>
      </c>
      <c r="E49" s="8" t="s">
        <v>153</v>
      </c>
    </row>
    <row r="50" customFormat="false" ht="15" hidden="false" customHeight="false" outlineLevel="0" collapsed="false">
      <c r="A50" s="5"/>
      <c r="B50" s="7" t="s">
        <v>154</v>
      </c>
      <c r="C50" s="33" t="n">
        <v>100000000</v>
      </c>
      <c r="D50" s="34" t="s">
        <v>105</v>
      </c>
      <c r="E50" s="8" t="s">
        <v>155</v>
      </c>
    </row>
    <row r="51" customFormat="false" ht="15" hidden="false" customHeight="false" outlineLevel="0" collapsed="false">
      <c r="A51" s="5"/>
      <c r="B51" s="7" t="s">
        <v>156</v>
      </c>
      <c r="C51" s="36" t="n">
        <v>0.6</v>
      </c>
      <c r="D51" s="34" t="s">
        <v>92</v>
      </c>
      <c r="E51" s="8" t="s">
        <v>157</v>
      </c>
    </row>
    <row r="52" customFormat="false" ht="15" hidden="false" customHeight="false" outlineLevel="0" collapsed="false">
      <c r="A52" s="5"/>
      <c r="B52" s="7" t="s">
        <v>158</v>
      </c>
      <c r="C52" s="33" t="n">
        <v>25000000</v>
      </c>
      <c r="D52" s="34" t="s">
        <v>105</v>
      </c>
      <c r="E52" s="8" t="s">
        <v>159</v>
      </c>
    </row>
    <row r="53" customFormat="false" ht="15" hidden="false" customHeight="false" outlineLevel="0" collapsed="false">
      <c r="A53" s="5"/>
      <c r="B53" s="7" t="s">
        <v>160</v>
      </c>
      <c r="C53" s="33" t="n">
        <v>50000000</v>
      </c>
      <c r="D53" s="34" t="s">
        <v>105</v>
      </c>
      <c r="E53" s="8" t="s">
        <v>161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G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162</v>
      </c>
      <c r="C2" s="5"/>
      <c r="D2" s="5"/>
      <c r="E2" s="5"/>
      <c r="F2" s="5"/>
      <c r="G2" s="5"/>
    </row>
    <row r="3" customFormat="false" ht="15" hidden="false" customHeight="false" outlineLevel="0" collapsed="false">
      <c r="A3" s="5"/>
      <c r="B3" s="29" t="s">
        <v>163</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7" t="s">
        <v>70</v>
      </c>
      <c r="C5" s="38" t="n">
        <f aca="false">Base_Year+0</f>
        <v>2025</v>
      </c>
      <c r="D5" s="38" t="n">
        <f aca="false">Base_Year+1</f>
        <v>2026</v>
      </c>
      <c r="E5" s="38" t="n">
        <f aca="false">Base_Year+2</f>
        <v>2027</v>
      </c>
      <c r="F5" s="38" t="n">
        <f aca="false">Base_Year+3</f>
        <v>2028</v>
      </c>
      <c r="G5" s="38" t="n">
        <f aca="false">Base_Year+4</f>
        <v>2029</v>
      </c>
    </row>
    <row r="6" customFormat="false" ht="15" hidden="false" customHeight="false" outlineLevel="0" collapsed="false">
      <c r="A6" s="5"/>
      <c r="B6" s="29" t="s">
        <v>164</v>
      </c>
      <c r="C6" s="34" t="n">
        <f aca="false">COLUMN(C1)-2</f>
        <v>1</v>
      </c>
      <c r="D6" s="34" t="n">
        <f aca="false">COLUMN(D1)-2</f>
        <v>2</v>
      </c>
      <c r="E6" s="34" t="n">
        <f aca="false">COLUMN(E1)-2</f>
        <v>3</v>
      </c>
      <c r="F6" s="34" t="n">
        <f aca="false">COLUMN(F1)-2</f>
        <v>4</v>
      </c>
      <c r="G6" s="34" t="n">
        <f aca="false">COLUMN(G1)-2</f>
        <v>5</v>
      </c>
    </row>
    <row r="7" customFormat="false" ht="15" hidden="false" customHeight="false" outlineLevel="0" collapsed="false">
      <c r="A7" s="5"/>
      <c r="B7" s="5"/>
      <c r="C7" s="5"/>
      <c r="D7" s="5"/>
      <c r="E7" s="5"/>
      <c r="F7" s="5"/>
      <c r="G7" s="5"/>
    </row>
    <row r="8" customFormat="false" ht="15" hidden="false" customHeight="false" outlineLevel="0" collapsed="false">
      <c r="A8" s="5"/>
      <c r="B8" s="32" t="s">
        <v>165</v>
      </c>
      <c r="C8" s="16"/>
      <c r="D8" s="16"/>
      <c r="E8" s="16"/>
      <c r="F8" s="16"/>
      <c r="G8" s="16"/>
    </row>
    <row r="9" customFormat="false" ht="15" hidden="false" customHeight="false" outlineLevel="0" collapsed="false">
      <c r="A9" s="5"/>
      <c r="B9" s="7" t="s">
        <v>72</v>
      </c>
      <c r="C9" s="39" t="n">
        <f aca="false">Opening_Towers</f>
        <v>1500</v>
      </c>
      <c r="D9" s="39" t="n">
        <f aca="false">C13</f>
        <v>1640</v>
      </c>
      <c r="E9" s="39" t="n">
        <f aca="false">D13</f>
        <v>1780</v>
      </c>
      <c r="F9" s="39" t="n">
        <f aca="false">E13</f>
        <v>1920</v>
      </c>
      <c r="G9" s="39" t="n">
        <f aca="false">F13</f>
        <v>2060</v>
      </c>
    </row>
    <row r="10" customFormat="false" ht="15" hidden="false" customHeight="false" outlineLevel="0" collapsed="false">
      <c r="A10" s="5"/>
      <c r="B10" s="40" t="s">
        <v>166</v>
      </c>
      <c r="C10" s="39" t="n">
        <f aca="false">New_Builds_Yr</f>
        <v>100</v>
      </c>
      <c r="D10" s="39" t="n">
        <f aca="false">New_Builds_Yr</f>
        <v>100</v>
      </c>
      <c r="E10" s="39" t="n">
        <f aca="false">New_Builds_Yr</f>
        <v>100</v>
      </c>
      <c r="F10" s="39" t="n">
        <f aca="false">New_Builds_Yr</f>
        <v>100</v>
      </c>
      <c r="G10" s="39" t="n">
        <f aca="false">New_Builds_Yr</f>
        <v>100</v>
      </c>
    </row>
    <row r="11" customFormat="false" ht="15" hidden="false" customHeight="false" outlineLevel="0" collapsed="false">
      <c r="A11" s="5"/>
      <c r="B11" s="40" t="s">
        <v>167</v>
      </c>
      <c r="C11" s="39" t="n">
        <f aca="false">Acquisitions_Yr</f>
        <v>50</v>
      </c>
      <c r="D11" s="39" t="n">
        <f aca="false">Acquisitions_Yr</f>
        <v>50</v>
      </c>
      <c r="E11" s="39" t="n">
        <f aca="false">Acquisitions_Yr</f>
        <v>50</v>
      </c>
      <c r="F11" s="39" t="n">
        <f aca="false">Acquisitions_Yr</f>
        <v>50</v>
      </c>
      <c r="G11" s="39" t="n">
        <f aca="false">Acquisitions_Yr</f>
        <v>50</v>
      </c>
    </row>
    <row r="12" customFormat="false" ht="15" hidden="false" customHeight="false" outlineLevel="0" collapsed="false">
      <c r="A12" s="5"/>
      <c r="B12" s="40" t="s">
        <v>168</v>
      </c>
      <c r="C12" s="39" t="n">
        <f aca="false">-Decommissions_Yr</f>
        <v>-10</v>
      </c>
      <c r="D12" s="39" t="n">
        <f aca="false">-Decommissions_Yr</f>
        <v>-10</v>
      </c>
      <c r="E12" s="39" t="n">
        <f aca="false">-Decommissions_Yr</f>
        <v>-10</v>
      </c>
      <c r="F12" s="39" t="n">
        <f aca="false">-Decommissions_Yr</f>
        <v>-10</v>
      </c>
      <c r="G12" s="39" t="n">
        <f aca="false">-Decommissions_Yr</f>
        <v>-10</v>
      </c>
    </row>
    <row r="13" customFormat="false" ht="15" hidden="false" customHeight="false" outlineLevel="0" collapsed="false">
      <c r="A13" s="5"/>
      <c r="B13" s="41" t="s">
        <v>169</v>
      </c>
      <c r="C13" s="42" t="n">
        <f aca="false">C9+C10+C11+C12</f>
        <v>1640</v>
      </c>
      <c r="D13" s="42" t="n">
        <f aca="false">D9+D10+D11+D12</f>
        <v>1780</v>
      </c>
      <c r="E13" s="42" t="n">
        <f aca="false">E9+E10+E11+E12</f>
        <v>1920</v>
      </c>
      <c r="F13" s="42" t="n">
        <f aca="false">F9+F10+F11+F12</f>
        <v>2060</v>
      </c>
      <c r="G13" s="42" t="n">
        <f aca="false">G9+G10+G11+G12</f>
        <v>2200</v>
      </c>
    </row>
    <row r="14" customFormat="false" ht="15" hidden="false" customHeight="false" outlineLevel="0" collapsed="false">
      <c r="A14" s="5"/>
      <c r="B14" s="7" t="s">
        <v>170</v>
      </c>
      <c r="C14" s="39" t="n">
        <f aca="false">(C9+C13)/2</f>
        <v>1570</v>
      </c>
      <c r="D14" s="39" t="n">
        <f aca="false">(D9+D13)/2</f>
        <v>1710</v>
      </c>
      <c r="E14" s="39" t="n">
        <f aca="false">(E9+E13)/2</f>
        <v>1850</v>
      </c>
      <c r="F14" s="39" t="n">
        <f aca="false">(F9+F13)/2</f>
        <v>1990</v>
      </c>
      <c r="G14" s="39" t="n">
        <f aca="false">(G9+G13)/2</f>
        <v>2130</v>
      </c>
    </row>
    <row r="15" customFormat="false" ht="15" hidden="false" customHeight="false" outlineLevel="0" collapsed="false">
      <c r="A15" s="5"/>
      <c r="B15" s="5"/>
      <c r="C15" s="5"/>
      <c r="D15" s="5"/>
      <c r="E15" s="5"/>
      <c r="F15" s="5"/>
      <c r="G15" s="5"/>
    </row>
    <row r="16" customFormat="false" ht="15" hidden="false" customHeight="false" outlineLevel="0" collapsed="false">
      <c r="A16" s="5"/>
      <c r="B16" s="32" t="s">
        <v>171</v>
      </c>
      <c r="C16" s="16"/>
      <c r="D16" s="16"/>
      <c r="E16" s="16"/>
      <c r="F16" s="16"/>
      <c r="G16" s="16"/>
    </row>
    <row r="17" customFormat="false" ht="15" hidden="false" customHeight="false" outlineLevel="0" collapsed="false">
      <c r="A17" s="5"/>
      <c r="B17" s="7" t="s">
        <v>172</v>
      </c>
      <c r="C17" s="43" t="n">
        <f aca="false">Tenancy_Ratio*(1+Tenancy_Growth)^(C6-1)</f>
        <v>1.6</v>
      </c>
      <c r="D17" s="43" t="n">
        <f aca="false">Tenancy_Ratio*(1+Tenancy_Growth)^(D6-1)</f>
        <v>1.68</v>
      </c>
      <c r="E17" s="43" t="n">
        <f aca="false">Tenancy_Ratio*(1+Tenancy_Growth)^(E6-1)</f>
        <v>1.764</v>
      </c>
      <c r="F17" s="43" t="n">
        <f aca="false">Tenancy_Ratio*(1+Tenancy_Growth)^(F6-1)</f>
        <v>1.8522</v>
      </c>
      <c r="G17" s="43" t="n">
        <f aca="false">Tenancy_Ratio*(1+Tenancy_Growth)^(G6-1)</f>
        <v>1.94481</v>
      </c>
    </row>
    <row r="18" customFormat="false" ht="15" hidden="false" customHeight="false" outlineLevel="0" collapsed="false">
      <c r="A18" s="5"/>
      <c r="B18" s="41" t="s">
        <v>173</v>
      </c>
      <c r="C18" s="42" t="n">
        <f aca="false">C14*C17</f>
        <v>2512</v>
      </c>
      <c r="D18" s="42" t="n">
        <f aca="false">D14*D17</f>
        <v>2872.8</v>
      </c>
      <c r="E18" s="42" t="n">
        <f aca="false">E14*E17</f>
        <v>3263.4</v>
      </c>
      <c r="F18" s="42" t="n">
        <f aca="false">F14*F17</f>
        <v>3685.878</v>
      </c>
      <c r="G18" s="42" t="n">
        <f aca="false">G14*G17</f>
        <v>4142.4453</v>
      </c>
    </row>
    <row r="19" customFormat="false" ht="15" hidden="false" customHeight="false" outlineLevel="0" collapsed="false">
      <c r="A19" s="5"/>
      <c r="B19" s="40" t="s">
        <v>174</v>
      </c>
      <c r="C19" s="39" t="n">
        <f aca="false">C18*Anchor_Pct</f>
        <v>1381.6</v>
      </c>
      <c r="D19" s="39" t="n">
        <f aca="false">D18*Anchor_Pct</f>
        <v>1580.04</v>
      </c>
      <c r="E19" s="39" t="n">
        <f aca="false">E18*Anchor_Pct</f>
        <v>1794.87</v>
      </c>
      <c r="F19" s="39" t="n">
        <f aca="false">F18*Anchor_Pct</f>
        <v>2027.2329</v>
      </c>
      <c r="G19" s="39" t="n">
        <f aca="false">G18*Anchor_Pct</f>
        <v>2278.344915</v>
      </c>
    </row>
    <row r="20" customFormat="false" ht="15" hidden="false" customHeight="false" outlineLevel="0" collapsed="false">
      <c r="A20" s="5"/>
      <c r="B20" s="40" t="s">
        <v>175</v>
      </c>
      <c r="C20" s="39" t="n">
        <f aca="false">C18-C19</f>
        <v>1130.4</v>
      </c>
      <c r="D20" s="39" t="n">
        <f aca="false">D18-D19</f>
        <v>1292.76</v>
      </c>
      <c r="E20" s="39" t="n">
        <f aca="false">E18-E19</f>
        <v>1468.53</v>
      </c>
      <c r="F20" s="39" t="n">
        <f aca="false">F18-F19</f>
        <v>1658.6451</v>
      </c>
      <c r="G20" s="39" t="n">
        <f aca="false">G18-G19</f>
        <v>1864.100385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G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176</v>
      </c>
      <c r="C2" s="5"/>
      <c r="D2" s="5"/>
      <c r="E2" s="5"/>
      <c r="F2" s="5"/>
      <c r="G2" s="5"/>
    </row>
    <row r="3" customFormat="false" ht="15" hidden="false" customHeight="false" outlineLevel="0" collapsed="false">
      <c r="A3" s="5"/>
      <c r="B3" s="29" t="s">
        <v>11</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7" t="s">
        <v>70</v>
      </c>
      <c r="C5" s="38" t="n">
        <f aca="false">Base_Year+0</f>
        <v>2025</v>
      </c>
      <c r="D5" s="38" t="n">
        <f aca="false">Base_Year+1</f>
        <v>2026</v>
      </c>
      <c r="E5" s="38" t="n">
        <f aca="false">Base_Year+2</f>
        <v>2027</v>
      </c>
      <c r="F5" s="38" t="n">
        <f aca="false">Base_Year+3</f>
        <v>2028</v>
      </c>
      <c r="G5" s="38" t="n">
        <f aca="false">Base_Year+4</f>
        <v>2029</v>
      </c>
    </row>
    <row r="6" customFormat="false" ht="15" hidden="false" customHeight="false" outlineLevel="0" collapsed="false">
      <c r="A6" s="5"/>
      <c r="B6" s="29" t="s">
        <v>164</v>
      </c>
      <c r="C6" s="34" t="n">
        <f aca="false">COLUMN(C1)-2</f>
        <v>1</v>
      </c>
      <c r="D6" s="34" t="n">
        <f aca="false">COLUMN(D1)-2</f>
        <v>2</v>
      </c>
      <c r="E6" s="34" t="n">
        <f aca="false">COLUMN(E1)-2</f>
        <v>3</v>
      </c>
      <c r="F6" s="34" t="n">
        <f aca="false">COLUMN(F1)-2</f>
        <v>4</v>
      </c>
      <c r="G6" s="34" t="n">
        <f aca="false">COLUMN(G1)-2</f>
        <v>5</v>
      </c>
    </row>
    <row r="7" customFormat="false" ht="15" hidden="false" customHeight="false" outlineLevel="0" collapsed="false">
      <c r="A7" s="5"/>
      <c r="B7" s="5"/>
      <c r="C7" s="5"/>
      <c r="D7" s="5"/>
      <c r="E7" s="5"/>
      <c r="F7" s="5"/>
      <c r="G7" s="5"/>
    </row>
    <row r="8" customFormat="false" ht="15" hidden="false" customHeight="false" outlineLevel="0" collapsed="false">
      <c r="A8" s="5"/>
      <c r="B8" s="32" t="s">
        <v>87</v>
      </c>
      <c r="C8" s="16"/>
      <c r="D8" s="16"/>
      <c r="E8" s="16"/>
      <c r="F8" s="16"/>
      <c r="G8" s="16"/>
    </row>
    <row r="9" customFormat="false" ht="15" hidden="false" customHeight="false" outlineLevel="0" collapsed="false">
      <c r="A9" s="5"/>
      <c r="B9" s="40" t="s">
        <v>177</v>
      </c>
      <c r="C9" s="44" t="n">
        <f aca="false">Anchor_Rate*(1+Lease_Escalator)^(C6-1)</f>
        <v>2000</v>
      </c>
      <c r="D9" s="44" t="n">
        <f aca="false">Anchor_Rate*(1+Lease_Escalator)^(D6-1)</f>
        <v>2060</v>
      </c>
      <c r="E9" s="44" t="n">
        <f aca="false">Anchor_Rate*(1+Lease_Escalator)^(E6-1)</f>
        <v>2121.8</v>
      </c>
      <c r="F9" s="44" t="n">
        <f aca="false">Anchor_Rate*(1+Lease_Escalator)^(F6-1)</f>
        <v>2185.454</v>
      </c>
      <c r="G9" s="44" t="n">
        <f aca="false">Anchor_Rate*(1+Lease_Escalator)^(G6-1)</f>
        <v>2251.01762</v>
      </c>
    </row>
    <row r="10" customFormat="false" ht="15" hidden="false" customHeight="false" outlineLevel="0" collapsed="false">
      <c r="A10" s="5"/>
      <c r="B10" s="40" t="s">
        <v>178</v>
      </c>
      <c r="C10" s="44" t="n">
        <f aca="false">C9*(1-Colo_Discount)</f>
        <v>1400</v>
      </c>
      <c r="D10" s="44" t="n">
        <f aca="false">D9*(1-Colo_Discount)</f>
        <v>1442</v>
      </c>
      <c r="E10" s="44" t="n">
        <f aca="false">E9*(1-Colo_Discount)</f>
        <v>1485.26</v>
      </c>
      <c r="F10" s="44" t="n">
        <f aca="false">F9*(1-Colo_Discount)</f>
        <v>1529.8178</v>
      </c>
      <c r="G10" s="44" t="n">
        <f aca="false">G9*(1-Colo_Discount)</f>
        <v>1575.712334</v>
      </c>
    </row>
    <row r="11" customFormat="false" ht="15" hidden="false" customHeight="false" outlineLevel="0" collapsed="false">
      <c r="A11" s="5"/>
      <c r="B11" s="40" t="s">
        <v>179</v>
      </c>
      <c r="C11" s="39" t="n">
        <f aca="false">TP_Anchor_Ten*C9*12</f>
        <v>33158400</v>
      </c>
      <c r="D11" s="39" t="n">
        <f aca="false">TP_Anchor_Ten*D9*12</f>
        <v>39058588.8</v>
      </c>
      <c r="E11" s="39" t="n">
        <f aca="false">TP_Anchor_Ten*E9*12</f>
        <v>45700261.992</v>
      </c>
      <c r="F11" s="39" t="n">
        <f aca="false">TP_Anchor_Ten*F9*12</f>
        <v>53165091.0028392</v>
      </c>
      <c r="G11" s="39" t="n">
        <f aca="false">TP_Anchor_Ten*G9*12</f>
        <v>61543134.5772289</v>
      </c>
    </row>
    <row r="12" customFormat="false" ht="15" hidden="false" customHeight="false" outlineLevel="0" collapsed="false">
      <c r="A12" s="5"/>
      <c r="B12" s="40" t="s">
        <v>180</v>
      </c>
      <c r="C12" s="39" t="n">
        <f aca="false">TP_Colo_Ten*C10*12</f>
        <v>18990720</v>
      </c>
      <c r="D12" s="39" t="n">
        <f aca="false">TP_Colo_Ten*D10*12</f>
        <v>22369919.04</v>
      </c>
      <c r="E12" s="39" t="n">
        <f aca="false">TP_Colo_Ten*E10*12</f>
        <v>26173786.4136</v>
      </c>
      <c r="F12" s="39" t="n">
        <f aca="false">TP_Colo_Ten*F10*12</f>
        <v>30449097.5743534</v>
      </c>
      <c r="G12" s="39" t="n">
        <f aca="false">TP_Colo_Ten*G10*12</f>
        <v>35247431.6215038</v>
      </c>
    </row>
    <row r="13" customFormat="false" ht="15" hidden="false" customHeight="false" outlineLevel="0" collapsed="false">
      <c r="A13" s="5"/>
      <c r="B13" s="41" t="s">
        <v>181</v>
      </c>
      <c r="C13" s="42" t="n">
        <f aca="false">C11+C12</f>
        <v>52149120</v>
      </c>
      <c r="D13" s="42" t="n">
        <f aca="false">D11+D12</f>
        <v>61428507.84</v>
      </c>
      <c r="E13" s="42" t="n">
        <f aca="false">E11+E12</f>
        <v>71874048.4056</v>
      </c>
      <c r="F13" s="42" t="n">
        <f aca="false">F11+F12</f>
        <v>83614188.5771926</v>
      </c>
      <c r="G13" s="42" t="n">
        <f aca="false">G11+G12</f>
        <v>96790566.1987326</v>
      </c>
    </row>
    <row r="14" customFormat="false" ht="15" hidden="false" customHeight="false" outlineLevel="0" collapsed="false">
      <c r="A14" s="5"/>
      <c r="B14" s="5"/>
      <c r="C14" s="5"/>
      <c r="D14" s="5"/>
      <c r="E14" s="5"/>
      <c r="F14" s="5"/>
      <c r="G14" s="5"/>
    </row>
    <row r="15" customFormat="false" ht="15" hidden="false" customHeight="false" outlineLevel="0" collapsed="false">
      <c r="A15" s="5"/>
      <c r="B15" s="32" t="s">
        <v>98</v>
      </c>
      <c r="C15" s="16"/>
      <c r="D15" s="16"/>
      <c r="E15" s="16"/>
      <c r="F15" s="16"/>
      <c r="G15" s="16"/>
    </row>
    <row r="16" customFormat="false" ht="15" hidden="false" customHeight="false" outlineLevel="0" collapsed="false">
      <c r="A16" s="5"/>
      <c r="B16" s="7" t="s">
        <v>98</v>
      </c>
      <c r="C16" s="39" t="n">
        <f aca="false">TP_Total_Ten*Amendment_Rate*Amendment_Fee*12</f>
        <v>904320</v>
      </c>
      <c r="D16" s="39" t="n">
        <f aca="false">TP_Total_Ten*Amendment_Rate*Amendment_Fee*12</f>
        <v>1034208</v>
      </c>
      <c r="E16" s="39" t="n">
        <f aca="false">TP_Total_Ten*Amendment_Rate*Amendment_Fee*12</f>
        <v>1174824</v>
      </c>
      <c r="F16" s="39" t="n">
        <f aca="false">TP_Total_Ten*Amendment_Rate*Amendment_Fee*12</f>
        <v>1326916.08</v>
      </c>
      <c r="G16" s="39" t="n">
        <f aca="false">TP_Total_Ten*Amendment_Rate*Amendment_Fee*12</f>
        <v>1491280.308</v>
      </c>
    </row>
    <row r="17" customFormat="false" ht="15" hidden="false" customHeight="false" outlineLevel="0" collapsed="false">
      <c r="A17" s="5"/>
      <c r="B17" s="5"/>
      <c r="C17" s="5"/>
      <c r="D17" s="5"/>
      <c r="E17" s="5"/>
      <c r="F17" s="5"/>
      <c r="G17" s="5"/>
    </row>
    <row r="18" customFormat="false" ht="15" hidden="false" customHeight="false" outlineLevel="0" collapsed="false">
      <c r="A18" s="5"/>
      <c r="B18" s="32" t="s">
        <v>103</v>
      </c>
      <c r="C18" s="16"/>
      <c r="D18" s="16"/>
      <c r="E18" s="16"/>
      <c r="F18" s="16"/>
      <c r="G18" s="16"/>
    </row>
    <row r="19" customFormat="false" ht="15" hidden="false" customHeight="false" outlineLevel="0" collapsed="false">
      <c r="A19" s="5"/>
      <c r="B19" s="40" t="s">
        <v>182</v>
      </c>
      <c r="C19" s="39" t="n">
        <f aca="false">TP_New_Builds*Build_Fee</f>
        <v>2500000</v>
      </c>
      <c r="D19" s="39" t="n">
        <f aca="false">TP_New_Builds*Build_Fee</f>
        <v>2500000</v>
      </c>
      <c r="E19" s="39" t="n">
        <f aca="false">TP_New_Builds*Build_Fee</f>
        <v>2500000</v>
      </c>
      <c r="F19" s="39" t="n">
        <f aca="false">TP_New_Builds*Build_Fee</f>
        <v>2500000</v>
      </c>
      <c r="G19" s="39" t="n">
        <f aca="false">TP_New_Builds*Build_Fee</f>
        <v>2500000</v>
      </c>
    </row>
    <row r="20" customFormat="false" ht="15" hidden="false" customHeight="false" outlineLevel="0" collapsed="false">
      <c r="A20" s="5"/>
      <c r="B20" s="40" t="s">
        <v>183</v>
      </c>
      <c r="C20" s="39" t="n">
        <f aca="false">(TP_New_Builds+TP_Acquisitions)*Install_Fee</f>
        <v>750000</v>
      </c>
      <c r="D20" s="39" t="n">
        <f aca="false">(TP_New_Builds+TP_Acquisitions)*Install_Fee</f>
        <v>750000</v>
      </c>
      <c r="E20" s="39" t="n">
        <f aca="false">(TP_New_Builds+TP_Acquisitions)*Install_Fee</f>
        <v>750000</v>
      </c>
      <c r="F20" s="39" t="n">
        <f aca="false">(TP_New_Builds+TP_Acquisitions)*Install_Fee</f>
        <v>750000</v>
      </c>
      <c r="G20" s="39" t="n">
        <f aca="false">(TP_New_Builds+TP_Acquisitions)*Install_Fee</f>
        <v>750000</v>
      </c>
    </row>
    <row r="21" customFormat="false" ht="15" hidden="false" customHeight="false" outlineLevel="0" collapsed="false">
      <c r="A21" s="5"/>
      <c r="B21" s="41" t="s">
        <v>184</v>
      </c>
      <c r="C21" s="42" t="n">
        <f aca="false">C19+C20</f>
        <v>3250000</v>
      </c>
      <c r="D21" s="42" t="n">
        <f aca="false">D19+D20</f>
        <v>3250000</v>
      </c>
      <c r="E21" s="42" t="n">
        <f aca="false">E19+E20</f>
        <v>3250000</v>
      </c>
      <c r="F21" s="42" t="n">
        <f aca="false">F19+F20</f>
        <v>3250000</v>
      </c>
      <c r="G21" s="42" t="n">
        <f aca="false">G19+G20</f>
        <v>3250000</v>
      </c>
    </row>
    <row r="22" customFormat="false" ht="15" hidden="false" customHeight="false" outlineLevel="0" collapsed="false">
      <c r="A22" s="5"/>
      <c r="B22" s="5"/>
      <c r="C22" s="5"/>
      <c r="D22" s="5"/>
      <c r="E22" s="5"/>
      <c r="F22" s="5"/>
      <c r="G22" s="5"/>
    </row>
    <row r="23" customFormat="false" ht="15" hidden="false" customHeight="false" outlineLevel="0" collapsed="false">
      <c r="A23" s="5"/>
      <c r="B23" s="45" t="s">
        <v>185</v>
      </c>
      <c r="C23" s="46" t="n">
        <f aca="false">C13+C16+C21</f>
        <v>56303440</v>
      </c>
      <c r="D23" s="46" t="n">
        <f aca="false">D13+D16+D21</f>
        <v>65712715.84</v>
      </c>
      <c r="E23" s="46" t="n">
        <f aca="false">E13+E16+E21</f>
        <v>76298872.4056</v>
      </c>
      <c r="F23" s="46" t="n">
        <f aca="false">F13+F16+F21</f>
        <v>88191104.6571926</v>
      </c>
      <c r="G23" s="46" t="n">
        <f aca="false">G13+G16+G21</f>
        <v>101531846.506733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G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109</v>
      </c>
      <c r="C2" s="5"/>
      <c r="D2" s="5"/>
      <c r="E2" s="5"/>
      <c r="F2" s="5"/>
      <c r="G2" s="5"/>
    </row>
    <row r="3" customFormat="false" ht="15" hidden="false" customHeight="false" outlineLevel="0" collapsed="false">
      <c r="A3" s="5"/>
      <c r="B3" s="29" t="s">
        <v>186</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7" t="s">
        <v>70</v>
      </c>
      <c r="C5" s="38" t="n">
        <f aca="false">Base_Year+0</f>
        <v>2025</v>
      </c>
      <c r="D5" s="38" t="n">
        <f aca="false">Base_Year+1</f>
        <v>2026</v>
      </c>
      <c r="E5" s="38" t="n">
        <f aca="false">Base_Year+2</f>
        <v>2027</v>
      </c>
      <c r="F5" s="38" t="n">
        <f aca="false">Base_Year+3</f>
        <v>2028</v>
      </c>
      <c r="G5" s="38" t="n">
        <f aca="false">Base_Year+4</f>
        <v>2029</v>
      </c>
    </row>
    <row r="6" customFormat="false" ht="15" hidden="false" customHeight="false" outlineLevel="0" collapsed="false">
      <c r="A6" s="5"/>
      <c r="B6" s="29" t="s">
        <v>164</v>
      </c>
      <c r="C6" s="34" t="n">
        <f aca="false">COLUMN(C1)-2</f>
        <v>1</v>
      </c>
      <c r="D6" s="34" t="n">
        <f aca="false">COLUMN(D1)-2</f>
        <v>2</v>
      </c>
      <c r="E6" s="34" t="n">
        <f aca="false">COLUMN(E1)-2</f>
        <v>3</v>
      </c>
      <c r="F6" s="34" t="n">
        <f aca="false">COLUMN(F1)-2</f>
        <v>4</v>
      </c>
      <c r="G6" s="34" t="n">
        <f aca="false">COLUMN(G1)-2</f>
        <v>5</v>
      </c>
    </row>
    <row r="7" customFormat="false" ht="15" hidden="false" customHeight="false" outlineLevel="0" collapsed="false">
      <c r="A7" s="5"/>
      <c r="B7" s="5"/>
      <c r="C7" s="5"/>
      <c r="D7" s="5"/>
      <c r="E7" s="5"/>
      <c r="F7" s="5"/>
      <c r="G7" s="5"/>
    </row>
    <row r="8" customFormat="false" ht="15" hidden="false" customHeight="false" outlineLevel="0" collapsed="false">
      <c r="A8" s="5"/>
      <c r="B8" s="32" t="s">
        <v>187</v>
      </c>
      <c r="C8" s="16"/>
      <c r="D8" s="16"/>
      <c r="E8" s="16"/>
      <c r="F8" s="16"/>
      <c r="G8" s="16"/>
    </row>
    <row r="9" customFormat="false" ht="15" hidden="false" customHeight="false" outlineLevel="0" collapsed="false">
      <c r="A9" s="5"/>
      <c r="B9" s="47" t="s">
        <v>188</v>
      </c>
      <c r="C9" s="48" t="n">
        <f aca="false">RB_Total_Rev</f>
        <v>56303440</v>
      </c>
      <c r="D9" s="48" t="n">
        <f aca="false">RB_Total_Rev</f>
        <v>65712715.84</v>
      </c>
      <c r="E9" s="48" t="n">
        <f aca="false">RB_Total_Rev</f>
        <v>76298872.4056</v>
      </c>
      <c r="F9" s="48" t="n">
        <f aca="false">RB_Total_Rev</f>
        <v>88191104.6571926</v>
      </c>
      <c r="G9" s="48" t="n">
        <f aca="false">RB_Total_Rev</f>
        <v>101531846.506733</v>
      </c>
    </row>
    <row r="10" customFormat="false" ht="15" hidden="false" customHeight="false" outlineLevel="0" collapsed="false">
      <c r="A10" s="5"/>
      <c r="B10" s="5"/>
      <c r="C10" s="5"/>
      <c r="D10" s="5"/>
      <c r="E10" s="5"/>
      <c r="F10" s="5"/>
      <c r="G10" s="5"/>
    </row>
    <row r="11" customFormat="false" ht="15" hidden="false" customHeight="false" outlineLevel="0" collapsed="false">
      <c r="A11" s="5"/>
      <c r="B11" s="32" t="s">
        <v>189</v>
      </c>
      <c r="C11" s="16"/>
      <c r="D11" s="16"/>
      <c r="E11" s="16"/>
      <c r="F11" s="16"/>
      <c r="G11" s="16"/>
    </row>
    <row r="12" customFormat="false" ht="15" hidden="false" customHeight="false" outlineLevel="0" collapsed="false">
      <c r="A12" s="5"/>
      <c r="B12" s="40" t="s">
        <v>190</v>
      </c>
      <c r="C12" s="39" t="n">
        <f aca="false">TP_Avg_Towers*Ground_Lease_Tower*(1+Ground_Lease_Esc)^(C6-1)*12</f>
        <v>9420000</v>
      </c>
      <c r="D12" s="39" t="n">
        <f aca="false">TP_Avg_Towers*Ground_Lease_Tower*(1+Ground_Lease_Esc)^(D6-1)*12</f>
        <v>10516500</v>
      </c>
      <c r="E12" s="39" t="n">
        <f aca="false">TP_Avg_Towers*Ground_Lease_Tower*(1+Ground_Lease_Esc)^(E6-1)*12</f>
        <v>11661937.5</v>
      </c>
      <c r="F12" s="39" t="n">
        <f aca="false">TP_Avg_Towers*Ground_Lease_Tower*(1+Ground_Lease_Esc)^(F6-1)*12</f>
        <v>12858074.0625</v>
      </c>
      <c r="G12" s="39" t="n">
        <f aca="false">TP_Avg_Towers*Ground_Lease_Tower*(1+Ground_Lease_Esc)^(G6-1)*12</f>
        <v>14106728.7421875</v>
      </c>
    </row>
    <row r="13" customFormat="false" ht="15" hidden="false" customHeight="false" outlineLevel="0" collapsed="false">
      <c r="A13" s="5"/>
      <c r="B13" s="40" t="s">
        <v>191</v>
      </c>
      <c r="C13" s="39" t="n">
        <f aca="false">TP_Avg_Towers*Prop_Tax_Tower*12</f>
        <v>3768000</v>
      </c>
      <c r="D13" s="39" t="n">
        <f aca="false">TP_Avg_Towers*Prop_Tax_Tower*12</f>
        <v>4104000</v>
      </c>
      <c r="E13" s="39" t="n">
        <f aca="false">TP_Avg_Towers*Prop_Tax_Tower*12</f>
        <v>4440000</v>
      </c>
      <c r="F13" s="39" t="n">
        <f aca="false">TP_Avg_Towers*Prop_Tax_Tower*12</f>
        <v>4776000</v>
      </c>
      <c r="G13" s="39" t="n">
        <f aca="false">TP_Avg_Towers*Prop_Tax_Tower*12</f>
        <v>5112000</v>
      </c>
    </row>
    <row r="14" customFormat="false" ht="15" hidden="false" customHeight="false" outlineLevel="0" collapsed="false">
      <c r="A14" s="5"/>
      <c r="B14" s="40" t="s">
        <v>192</v>
      </c>
      <c r="C14" s="39" t="n">
        <f aca="false">TP_Avg_Towers*Utility_Tower*12</f>
        <v>1884000</v>
      </c>
      <c r="D14" s="39" t="n">
        <f aca="false">TP_Avg_Towers*Utility_Tower*12</f>
        <v>2052000</v>
      </c>
      <c r="E14" s="39" t="n">
        <f aca="false">TP_Avg_Towers*Utility_Tower*12</f>
        <v>2220000</v>
      </c>
      <c r="F14" s="39" t="n">
        <f aca="false">TP_Avg_Towers*Utility_Tower*12</f>
        <v>2388000</v>
      </c>
      <c r="G14" s="39" t="n">
        <f aca="false">TP_Avg_Towers*Utility_Tower*12</f>
        <v>2556000</v>
      </c>
    </row>
    <row r="15" customFormat="false" ht="15" hidden="false" customHeight="false" outlineLevel="0" collapsed="false">
      <c r="A15" s="5"/>
      <c r="B15" s="40" t="s">
        <v>193</v>
      </c>
      <c r="C15" s="39" t="n">
        <f aca="false">TP_Avg_Towers*Maint_Tower*12</f>
        <v>2826000</v>
      </c>
      <c r="D15" s="39" t="n">
        <f aca="false">TP_Avg_Towers*Maint_Tower*12</f>
        <v>3078000</v>
      </c>
      <c r="E15" s="39" t="n">
        <f aca="false">TP_Avg_Towers*Maint_Tower*12</f>
        <v>3330000</v>
      </c>
      <c r="F15" s="39" t="n">
        <f aca="false">TP_Avg_Towers*Maint_Tower*12</f>
        <v>3582000</v>
      </c>
      <c r="G15" s="39" t="n">
        <f aca="false">TP_Avg_Towers*Maint_Tower*12</f>
        <v>3834000</v>
      </c>
    </row>
    <row r="16" customFormat="false" ht="15" hidden="false" customHeight="false" outlineLevel="0" collapsed="false">
      <c r="A16" s="5"/>
      <c r="B16" s="45" t="s">
        <v>194</v>
      </c>
      <c r="C16" s="46" t="n">
        <f aca="false">C12+C13+C14+C15</f>
        <v>17898000</v>
      </c>
      <c r="D16" s="46" t="n">
        <f aca="false">D12+D13+D14+D15</f>
        <v>19750500</v>
      </c>
      <c r="E16" s="46" t="n">
        <f aca="false">E12+E13+E14+E15</f>
        <v>21651937.5</v>
      </c>
      <c r="F16" s="46" t="n">
        <f aca="false">F12+F13+F14+F15</f>
        <v>23604074.0625</v>
      </c>
      <c r="G16" s="46" t="n">
        <f aca="false">G12+G13+G14+G15</f>
        <v>25608728.7421875</v>
      </c>
    </row>
    <row r="17" customFormat="false" ht="15" hidden="false" customHeight="false" outlineLevel="0" collapsed="false">
      <c r="A17" s="5"/>
      <c r="B17" s="5"/>
      <c r="C17" s="5"/>
      <c r="D17" s="5"/>
      <c r="E17" s="5"/>
      <c r="F17" s="5"/>
      <c r="G17" s="5"/>
    </row>
    <row r="18" customFormat="false" ht="15" hidden="false" customHeight="false" outlineLevel="0" collapsed="false">
      <c r="A18" s="5"/>
      <c r="B18" s="32" t="s">
        <v>195</v>
      </c>
      <c r="C18" s="16"/>
      <c r="D18" s="16"/>
      <c r="E18" s="16"/>
      <c r="F18" s="16"/>
      <c r="G18" s="16"/>
    </row>
    <row r="19" customFormat="false" ht="15" hidden="false" customHeight="false" outlineLevel="0" collapsed="false">
      <c r="A19" s="5"/>
      <c r="B19" s="45" t="s">
        <v>196</v>
      </c>
      <c r="C19" s="46" t="n">
        <f aca="false">C9-C16</f>
        <v>38405440</v>
      </c>
      <c r="D19" s="46" t="n">
        <f aca="false">D9-D16</f>
        <v>45962215.84</v>
      </c>
      <c r="E19" s="46" t="n">
        <f aca="false">E9-E16</f>
        <v>54646934.9056</v>
      </c>
      <c r="F19" s="46" t="n">
        <f aca="false">F9-F16</f>
        <v>64587030.5946926</v>
      </c>
      <c r="G19" s="46" t="n">
        <f aca="false">G9-G16</f>
        <v>75923117.7645451</v>
      </c>
    </row>
    <row r="20" customFormat="false" ht="15" hidden="false" customHeight="false" outlineLevel="0" collapsed="false">
      <c r="A20" s="5"/>
      <c r="B20" s="40" t="s">
        <v>197</v>
      </c>
      <c r="C20" s="49" t="n">
        <f aca="false">IFERROR(C19/C9,0)</f>
        <v>0.682115337890545</v>
      </c>
      <c r="D20" s="49" t="n">
        <f aca="false">IFERROR(D19/D9,0)</f>
        <v>0.699441732889426</v>
      </c>
      <c r="E20" s="49" t="n">
        <f aca="false">IFERROR(E19/E9,0)</f>
        <v>0.716222051291929</v>
      </c>
      <c r="F20" s="49" t="n">
        <f aca="false">IFERROR(F19/F9,0)</f>
        <v>0.732353119350854</v>
      </c>
      <c r="G20" s="49" t="n">
        <f aca="false">IFERROR(G19/G9,0)</f>
        <v>0.74777639111991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G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120</v>
      </c>
      <c r="C2" s="5"/>
      <c r="D2" s="5"/>
      <c r="E2" s="5"/>
      <c r="F2" s="5"/>
      <c r="G2" s="5"/>
    </row>
    <row r="3" customFormat="false" ht="15" hidden="false" customHeight="false" outlineLevel="0" collapsed="false">
      <c r="A3" s="5"/>
      <c r="B3" s="29" t="s">
        <v>198</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7" t="s">
        <v>70</v>
      </c>
      <c r="C5" s="38" t="n">
        <f aca="false">Base_Year+0</f>
        <v>2025</v>
      </c>
      <c r="D5" s="38" t="n">
        <f aca="false">Base_Year+1</f>
        <v>2026</v>
      </c>
      <c r="E5" s="38" t="n">
        <f aca="false">Base_Year+2</f>
        <v>2027</v>
      </c>
      <c r="F5" s="38" t="n">
        <f aca="false">Base_Year+3</f>
        <v>2028</v>
      </c>
      <c r="G5" s="38" t="n">
        <f aca="false">Base_Year+4</f>
        <v>2029</v>
      </c>
    </row>
    <row r="6" customFormat="false" ht="15" hidden="false" customHeight="false" outlineLevel="0" collapsed="false">
      <c r="A6" s="5"/>
      <c r="B6" s="29" t="s">
        <v>164</v>
      </c>
      <c r="C6" s="34" t="n">
        <f aca="false">COLUMN(C1)-2</f>
        <v>1</v>
      </c>
      <c r="D6" s="34" t="n">
        <f aca="false">COLUMN(D1)-2</f>
        <v>2</v>
      </c>
      <c r="E6" s="34" t="n">
        <f aca="false">COLUMN(E1)-2</f>
        <v>3</v>
      </c>
      <c r="F6" s="34" t="n">
        <f aca="false">COLUMN(F1)-2</f>
        <v>4</v>
      </c>
      <c r="G6" s="34" t="n">
        <f aca="false">COLUMN(G1)-2</f>
        <v>5</v>
      </c>
    </row>
    <row r="7" customFormat="false" ht="15" hidden="false" customHeight="false" outlineLevel="0" collapsed="false">
      <c r="A7" s="5"/>
      <c r="B7" s="5"/>
      <c r="C7" s="5"/>
      <c r="D7" s="5"/>
      <c r="E7" s="5"/>
      <c r="F7" s="5"/>
      <c r="G7" s="5"/>
    </row>
    <row r="8" customFormat="false" ht="15" hidden="false" customHeight="false" outlineLevel="0" collapsed="false">
      <c r="A8" s="5"/>
      <c r="B8" s="32" t="s">
        <v>199</v>
      </c>
      <c r="C8" s="16"/>
      <c r="D8" s="16"/>
      <c r="E8" s="16"/>
      <c r="F8" s="16"/>
      <c r="G8" s="16"/>
    </row>
    <row r="9" customFormat="false" ht="15" hidden="false" customHeight="false" outlineLevel="0" collapsed="false">
      <c r="A9" s="5"/>
      <c r="B9" s="47" t="s">
        <v>195</v>
      </c>
      <c r="C9" s="48" t="n">
        <f aca="false">SC_TCF</f>
        <v>38405440</v>
      </c>
      <c r="D9" s="48" t="n">
        <f aca="false">SC_TCF</f>
        <v>45962215.84</v>
      </c>
      <c r="E9" s="48" t="n">
        <f aca="false">SC_TCF</f>
        <v>54646934.9056</v>
      </c>
      <c r="F9" s="48" t="n">
        <f aca="false">SC_TCF</f>
        <v>64587030.5946926</v>
      </c>
      <c r="G9" s="48" t="n">
        <f aca="false">SC_TCF</f>
        <v>75923117.7645451</v>
      </c>
    </row>
    <row r="10" customFormat="false" ht="15" hidden="false" customHeight="false" outlineLevel="0" collapsed="false">
      <c r="A10" s="5"/>
      <c r="B10" s="5"/>
      <c r="C10" s="5"/>
      <c r="D10" s="5"/>
      <c r="E10" s="5"/>
      <c r="F10" s="5"/>
      <c r="G10" s="5"/>
    </row>
    <row r="11" customFormat="false" ht="15" hidden="false" customHeight="false" outlineLevel="0" collapsed="false">
      <c r="A11" s="5"/>
      <c r="B11" s="32" t="s">
        <v>200</v>
      </c>
      <c r="C11" s="16"/>
      <c r="D11" s="16"/>
      <c r="E11" s="16"/>
      <c r="F11" s="16"/>
      <c r="G11" s="16"/>
    </row>
    <row r="12" customFormat="false" ht="15" hidden="false" customHeight="false" outlineLevel="0" collapsed="false">
      <c r="A12" s="5"/>
      <c r="B12" s="40" t="s">
        <v>201</v>
      </c>
      <c r="C12" s="39" t="n">
        <f aca="false">RB_Total_Rev*SGA_Pct</f>
        <v>5630344</v>
      </c>
      <c r="D12" s="39" t="n">
        <f aca="false">RB_Total_Rev*SGA_Pct</f>
        <v>6571271.584</v>
      </c>
      <c r="E12" s="39" t="n">
        <f aca="false">RB_Total_Rev*SGA_Pct</f>
        <v>7629887.24056</v>
      </c>
      <c r="F12" s="39" t="n">
        <f aca="false">RB_Total_Rev*SGA_Pct</f>
        <v>8819110.46571926</v>
      </c>
      <c r="G12" s="39" t="n">
        <f aca="false">RB_Total_Rev*SGA_Pct</f>
        <v>10153184.6506733</v>
      </c>
    </row>
    <row r="13" customFormat="false" ht="15" hidden="false" customHeight="false" outlineLevel="0" collapsed="false">
      <c r="A13" s="5"/>
      <c r="B13" s="40" t="s">
        <v>202</v>
      </c>
      <c r="C13" s="39" t="n">
        <f aca="false">RB_Total_Rev*Insurance_Pct</f>
        <v>844551.6</v>
      </c>
      <c r="D13" s="39" t="n">
        <f aca="false">RB_Total_Rev*Insurance_Pct</f>
        <v>985690.7376</v>
      </c>
      <c r="E13" s="39" t="n">
        <f aca="false">RB_Total_Rev*Insurance_Pct</f>
        <v>1144483.086084</v>
      </c>
      <c r="F13" s="39" t="n">
        <f aca="false">RB_Total_Rev*Insurance_Pct</f>
        <v>1322866.56985789</v>
      </c>
      <c r="G13" s="39" t="n">
        <f aca="false">RB_Total_Rev*Insurance_Pct</f>
        <v>1522977.69760099</v>
      </c>
    </row>
    <row r="14" customFormat="false" ht="15" hidden="false" customHeight="false" outlineLevel="0" collapsed="false">
      <c r="A14" s="5"/>
      <c r="B14" s="40" t="s">
        <v>203</v>
      </c>
      <c r="C14" s="39" t="n">
        <f aca="false">RB_Total_Rev*Prof_Fees_Pct</f>
        <v>563034.4</v>
      </c>
      <c r="D14" s="39" t="n">
        <f aca="false">RB_Total_Rev*Prof_Fees_Pct</f>
        <v>657127.1584</v>
      </c>
      <c r="E14" s="39" t="n">
        <f aca="false">RB_Total_Rev*Prof_Fees_Pct</f>
        <v>762988.724056</v>
      </c>
      <c r="F14" s="39" t="n">
        <f aca="false">RB_Total_Rev*Prof_Fees_Pct</f>
        <v>881911.046571926</v>
      </c>
      <c r="G14" s="39" t="n">
        <f aca="false">RB_Total_Rev*Prof_Fees_Pct</f>
        <v>1015318.46506733</v>
      </c>
    </row>
    <row r="15" customFormat="false" ht="15" hidden="false" customHeight="false" outlineLevel="0" collapsed="false">
      <c r="A15" s="5"/>
      <c r="B15" s="45" t="s">
        <v>204</v>
      </c>
      <c r="C15" s="46" t="n">
        <f aca="false">C12+C13+C14</f>
        <v>7037930</v>
      </c>
      <c r="D15" s="46" t="n">
        <f aca="false">D12+D13+D14</f>
        <v>8214089.48</v>
      </c>
      <c r="E15" s="46" t="n">
        <f aca="false">E12+E13+E14</f>
        <v>9537359.0507</v>
      </c>
      <c r="F15" s="46" t="n">
        <f aca="false">F12+F13+F14</f>
        <v>11023888.0821491</v>
      </c>
      <c r="G15" s="46" t="n">
        <f aca="false">G12+G13+G14</f>
        <v>12691480.8133416</v>
      </c>
    </row>
    <row r="16" customFormat="false" ht="15" hidden="false" customHeight="false" outlineLevel="0" collapsed="false">
      <c r="A16" s="5"/>
      <c r="B16" s="5"/>
      <c r="C16" s="5"/>
      <c r="D16" s="5"/>
      <c r="E16" s="5"/>
      <c r="F16" s="5"/>
      <c r="G16" s="5"/>
    </row>
    <row r="17" customFormat="false" ht="15" hidden="false" customHeight="false" outlineLevel="0" collapsed="false">
      <c r="A17" s="5"/>
      <c r="B17" s="32" t="s">
        <v>205</v>
      </c>
      <c r="C17" s="16"/>
      <c r="D17" s="16"/>
      <c r="E17" s="16"/>
      <c r="F17" s="16"/>
      <c r="G17" s="16"/>
    </row>
    <row r="18" customFormat="false" ht="15" hidden="false" customHeight="false" outlineLevel="0" collapsed="false">
      <c r="A18" s="5"/>
      <c r="B18" s="45" t="s">
        <v>205</v>
      </c>
      <c r="C18" s="46" t="n">
        <f aca="false">C9-C15</f>
        <v>31367510</v>
      </c>
      <c r="D18" s="46" t="n">
        <f aca="false">D9-D15</f>
        <v>37748126.36</v>
      </c>
      <c r="E18" s="46" t="n">
        <f aca="false">E9-E15</f>
        <v>45109575.8549</v>
      </c>
      <c r="F18" s="46" t="n">
        <f aca="false">F9-F15</f>
        <v>53563142.5125435</v>
      </c>
      <c r="G18" s="46" t="n">
        <f aca="false">G9-G15</f>
        <v>63231636.9512036</v>
      </c>
    </row>
    <row r="19" customFormat="false" ht="15" hidden="false" customHeight="false" outlineLevel="0" collapsed="false">
      <c r="A19" s="5"/>
      <c r="B19" s="40" t="s">
        <v>206</v>
      </c>
      <c r="C19" s="49" t="n">
        <f aca="false">IFERROR(C18/RB_Total_Rev,0)</f>
        <v>0.557115337890545</v>
      </c>
      <c r="D19" s="49" t="n">
        <f aca="false">IFERROR(D18/RB_Total_Rev,0)</f>
        <v>0.574441732889426</v>
      </c>
      <c r="E19" s="49" t="n">
        <f aca="false">IFERROR(E18/RB_Total_Rev,0)</f>
        <v>0.591222051291929</v>
      </c>
      <c r="F19" s="49" t="n">
        <f aca="false">IFERROR(F18/RB_Total_Rev,0)</f>
        <v>0.607353119350854</v>
      </c>
      <c r="G19" s="49" t="n">
        <f aca="false">IFERROR(G18/RB_Total_Rev,0)</f>
        <v>0.62277639111991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G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207</v>
      </c>
      <c r="C2" s="5"/>
      <c r="D2" s="5"/>
      <c r="E2" s="5"/>
      <c r="F2" s="5"/>
      <c r="G2" s="5"/>
    </row>
    <row r="3" customFormat="false" ht="15" hidden="false" customHeight="false" outlineLevel="0" collapsed="false">
      <c r="A3" s="5"/>
      <c r="B3" s="29" t="s">
        <v>208</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7" t="s">
        <v>70</v>
      </c>
      <c r="C5" s="38" t="n">
        <f aca="false">Base_Year+0</f>
        <v>2025</v>
      </c>
      <c r="D5" s="38" t="n">
        <f aca="false">Base_Year+1</f>
        <v>2026</v>
      </c>
      <c r="E5" s="38" t="n">
        <f aca="false">Base_Year+2</f>
        <v>2027</v>
      </c>
      <c r="F5" s="38" t="n">
        <f aca="false">Base_Year+3</f>
        <v>2028</v>
      </c>
      <c r="G5" s="38" t="n">
        <f aca="false">Base_Year+4</f>
        <v>2029</v>
      </c>
    </row>
    <row r="6" customFormat="false" ht="15" hidden="false" customHeight="false" outlineLevel="0" collapsed="false">
      <c r="A6" s="5"/>
      <c r="B6" s="29" t="s">
        <v>164</v>
      </c>
      <c r="C6" s="34" t="n">
        <f aca="false">COLUMN(C1)-2</f>
        <v>1</v>
      </c>
      <c r="D6" s="34" t="n">
        <f aca="false">COLUMN(D1)-2</f>
        <v>2</v>
      </c>
      <c r="E6" s="34" t="n">
        <f aca="false">COLUMN(E1)-2</f>
        <v>3</v>
      </c>
      <c r="F6" s="34" t="n">
        <f aca="false">COLUMN(F1)-2</f>
        <v>4</v>
      </c>
      <c r="G6" s="34" t="n">
        <f aca="false">COLUMN(G1)-2</f>
        <v>5</v>
      </c>
    </row>
    <row r="7" customFormat="false" ht="15" hidden="false" customHeight="false" outlineLevel="0" collapsed="false">
      <c r="A7" s="5"/>
      <c r="B7" s="5"/>
      <c r="C7" s="5"/>
      <c r="D7" s="5"/>
      <c r="E7" s="5"/>
      <c r="F7" s="5"/>
      <c r="G7" s="5"/>
    </row>
    <row r="8" customFormat="false" ht="15" hidden="false" customHeight="false" outlineLevel="0" collapsed="false">
      <c r="A8" s="5"/>
      <c r="B8" s="32" t="s">
        <v>127</v>
      </c>
      <c r="C8" s="16"/>
      <c r="D8" s="16"/>
      <c r="E8" s="16"/>
      <c r="F8" s="16"/>
      <c r="G8" s="16"/>
    </row>
    <row r="9" customFormat="false" ht="15" hidden="false" customHeight="false" outlineLevel="0" collapsed="false">
      <c r="A9" s="5"/>
      <c r="B9" s="40" t="s">
        <v>209</v>
      </c>
      <c r="C9" s="39" t="n">
        <f aca="false">TP_New_Builds*Build_Cost</f>
        <v>25000000</v>
      </c>
      <c r="D9" s="39" t="n">
        <f aca="false">TP_New_Builds*Build_Cost</f>
        <v>25000000</v>
      </c>
      <c r="E9" s="39" t="n">
        <f aca="false">TP_New_Builds*Build_Cost</f>
        <v>25000000</v>
      </c>
      <c r="F9" s="39" t="n">
        <f aca="false">TP_New_Builds*Build_Cost</f>
        <v>25000000</v>
      </c>
      <c r="G9" s="39" t="n">
        <f aca="false">TP_New_Builds*Build_Cost</f>
        <v>25000000</v>
      </c>
    </row>
    <row r="10" customFormat="false" ht="15" hidden="false" customHeight="false" outlineLevel="0" collapsed="false">
      <c r="A10" s="5"/>
      <c r="B10" s="40" t="s">
        <v>210</v>
      </c>
      <c r="C10" s="39" t="n">
        <f aca="false">(TP_New_Builds+TP_Acquisitions)*Land_Cost</f>
        <v>11250000</v>
      </c>
      <c r="D10" s="39" t="n">
        <f aca="false">(TP_New_Builds+TP_Acquisitions)*Land_Cost</f>
        <v>11250000</v>
      </c>
      <c r="E10" s="39" t="n">
        <f aca="false">(TP_New_Builds+TP_Acquisitions)*Land_Cost</f>
        <v>11250000</v>
      </c>
      <c r="F10" s="39" t="n">
        <f aca="false">(TP_New_Builds+TP_Acquisitions)*Land_Cost</f>
        <v>11250000</v>
      </c>
      <c r="G10" s="39" t="n">
        <f aca="false">(TP_New_Builds+TP_Acquisitions)*Land_Cost</f>
        <v>11250000</v>
      </c>
    </row>
    <row r="11" customFormat="false" ht="15" hidden="false" customHeight="false" outlineLevel="0" collapsed="false">
      <c r="A11" s="5"/>
      <c r="B11" s="40" t="s">
        <v>211</v>
      </c>
      <c r="C11" s="39" t="n">
        <f aca="false">TP_Avg_Towers*Tenancy_Growth*Augment_Cost</f>
        <v>2355000</v>
      </c>
      <c r="D11" s="39" t="n">
        <f aca="false">TP_Avg_Towers*Tenancy_Growth*Augment_Cost</f>
        <v>2565000</v>
      </c>
      <c r="E11" s="39" t="n">
        <f aca="false">TP_Avg_Towers*Tenancy_Growth*Augment_Cost</f>
        <v>2775000</v>
      </c>
      <c r="F11" s="39" t="n">
        <f aca="false">TP_Avg_Towers*Tenancy_Growth*Augment_Cost</f>
        <v>2985000</v>
      </c>
      <c r="G11" s="39" t="n">
        <f aca="false">TP_Avg_Towers*Tenancy_Growth*Augment_Cost</f>
        <v>3195000</v>
      </c>
    </row>
    <row r="12" customFormat="false" ht="15" hidden="false" customHeight="false" outlineLevel="0" collapsed="false">
      <c r="A12" s="5"/>
      <c r="B12" s="40" t="s">
        <v>212</v>
      </c>
      <c r="C12" s="39" t="n">
        <f aca="false">RB_Total_Rev*Maint_Capex_Pct</f>
        <v>1407586</v>
      </c>
      <c r="D12" s="39" t="n">
        <f aca="false">RB_Total_Rev*Maint_Capex_Pct</f>
        <v>1642817.896</v>
      </c>
      <c r="E12" s="39" t="n">
        <f aca="false">RB_Total_Rev*Maint_Capex_Pct</f>
        <v>1907471.81014</v>
      </c>
      <c r="F12" s="39" t="n">
        <f aca="false">RB_Total_Rev*Maint_Capex_Pct</f>
        <v>2204777.61642981</v>
      </c>
      <c r="G12" s="39" t="n">
        <f aca="false">RB_Total_Rev*Maint_Capex_Pct</f>
        <v>2538296.16266832</v>
      </c>
    </row>
    <row r="13" customFormat="false" ht="15" hidden="false" customHeight="false" outlineLevel="0" collapsed="false">
      <c r="A13" s="5"/>
      <c r="B13" s="45" t="s">
        <v>213</v>
      </c>
      <c r="C13" s="46" t="n">
        <f aca="false">C9+C10+C11+C12</f>
        <v>40012586</v>
      </c>
      <c r="D13" s="46" t="n">
        <f aca="false">D9+D10+D11+D12</f>
        <v>40457817.896</v>
      </c>
      <c r="E13" s="46" t="n">
        <f aca="false">E9+E10+E11+E12</f>
        <v>40932471.81014</v>
      </c>
      <c r="F13" s="46" t="n">
        <f aca="false">F9+F10+F11+F12</f>
        <v>41439777.6164298</v>
      </c>
      <c r="G13" s="46" t="n">
        <f aca="false">G9+G10+G11+G12</f>
        <v>41983296.1626683</v>
      </c>
    </row>
    <row r="14" customFormat="false" ht="15" hidden="false" customHeight="false" outlineLevel="0" collapsed="false">
      <c r="A14" s="5"/>
      <c r="B14" s="5"/>
      <c r="C14" s="5"/>
      <c r="D14" s="5"/>
      <c r="E14" s="5"/>
      <c r="F14" s="5"/>
      <c r="G14" s="5"/>
    </row>
    <row r="15" customFormat="false" ht="15" hidden="false" customHeight="false" outlineLevel="0" collapsed="false">
      <c r="A15" s="5"/>
      <c r="B15" s="32" t="s">
        <v>214</v>
      </c>
      <c r="C15" s="16"/>
      <c r="D15" s="16"/>
      <c r="E15" s="16"/>
      <c r="F15" s="16"/>
      <c r="G15" s="16"/>
    </row>
    <row r="16" customFormat="false" ht="15" hidden="false" customHeight="false" outlineLevel="0" collapsed="false">
      <c r="A16" s="5"/>
      <c r="B16" s="7" t="s">
        <v>215</v>
      </c>
      <c r="C16" s="39" t="n">
        <f aca="false">Opening_Debt+Share_Capital+Opening_RE-Opening_Cash_Bal</f>
        <v>275000000</v>
      </c>
      <c r="D16" s="39" t="n">
        <f aca="false">C19</f>
        <v>294011746.933333</v>
      </c>
      <c r="E16" s="39" t="n">
        <f aca="false">D19</f>
        <v>312171593.840711</v>
      </c>
      <c r="F16" s="39" t="n">
        <f aca="false">E19</f>
        <v>329563794.607461</v>
      </c>
      <c r="G16" s="39" t="n">
        <f aca="false">F19</f>
        <v>346270000.742298</v>
      </c>
    </row>
    <row r="17" customFormat="false" ht="15" hidden="false" customHeight="false" outlineLevel="0" collapsed="false">
      <c r="A17" s="5"/>
      <c r="B17" s="40" t="s">
        <v>216</v>
      </c>
      <c r="C17" s="39" t="n">
        <f aca="false">C13</f>
        <v>40012586</v>
      </c>
      <c r="D17" s="39" t="n">
        <f aca="false">D13</f>
        <v>40457817.896</v>
      </c>
      <c r="E17" s="39" t="n">
        <f aca="false">E13</f>
        <v>40932471.81014</v>
      </c>
      <c r="F17" s="39" t="n">
        <f aca="false">F13</f>
        <v>41439777.6164298</v>
      </c>
      <c r="G17" s="39" t="n">
        <f aca="false">G13</f>
        <v>41983296.1626683</v>
      </c>
    </row>
    <row r="18" customFormat="false" ht="15" hidden="false" customHeight="false" outlineLevel="0" collapsed="false">
      <c r="A18" s="5"/>
      <c r="B18" s="40" t="s">
        <v>136</v>
      </c>
      <c r="C18" s="39" t="n">
        <f aca="false">(C16+C17)/((Tower_Life+Equip_Life)/2)</f>
        <v>21000839.0666667</v>
      </c>
      <c r="D18" s="39" t="n">
        <f aca="false">(D16+D17)/((Tower_Life+Equip_Life)/2)</f>
        <v>22297970.9886222</v>
      </c>
      <c r="E18" s="39" t="n">
        <f aca="false">(E16+E17)/((Tower_Life+Equip_Life)/2)</f>
        <v>23540271.0433901</v>
      </c>
      <c r="F18" s="39" t="n">
        <f aca="false">(F16+F17)/((Tower_Life+Equip_Life)/2)</f>
        <v>24733571.4815927</v>
      </c>
      <c r="G18" s="39" t="n">
        <f aca="false">(G16+G17)/((Tower_Life+Equip_Life)/2)</f>
        <v>25883553.1269978</v>
      </c>
    </row>
    <row r="19" customFormat="false" ht="15" hidden="false" customHeight="false" outlineLevel="0" collapsed="false">
      <c r="A19" s="5"/>
      <c r="B19" s="41" t="s">
        <v>217</v>
      </c>
      <c r="C19" s="42" t="n">
        <f aca="false">C16+C17-C18</f>
        <v>294011746.933333</v>
      </c>
      <c r="D19" s="42" t="n">
        <f aca="false">D16+D17-D18</f>
        <v>312171593.840711</v>
      </c>
      <c r="E19" s="42" t="n">
        <f aca="false">E16+E17-E18</f>
        <v>329563794.607461</v>
      </c>
      <c r="F19" s="42" t="n">
        <f aca="false">F16+F17-F18</f>
        <v>346270000.742298</v>
      </c>
      <c r="G19" s="42" t="n">
        <f aca="false">G16+G17-G18</f>
        <v>362369743.777969</v>
      </c>
    </row>
    <row r="20" customFormat="false" ht="15" hidden="false" customHeight="false" outlineLevel="0" collapsed="false">
      <c r="A20" s="5"/>
      <c r="B20" s="5"/>
      <c r="C20" s="5"/>
      <c r="D20" s="5"/>
      <c r="E20" s="5"/>
      <c r="F20" s="5"/>
      <c r="G20" s="5"/>
    </row>
    <row r="21" customFormat="false" ht="15" hidden="false" customHeight="false" outlineLevel="0" collapsed="false">
      <c r="A21" s="5"/>
      <c r="B21" s="32" t="s">
        <v>218</v>
      </c>
      <c r="C21" s="16"/>
      <c r="D21" s="16"/>
      <c r="E21" s="16"/>
      <c r="F21" s="16"/>
      <c r="G21" s="16"/>
    </row>
    <row r="22" customFormat="false" ht="15" hidden="false" customHeight="false" outlineLevel="0" collapsed="false">
      <c r="A22" s="5"/>
      <c r="B22" s="7" t="s">
        <v>205</v>
      </c>
      <c r="C22" s="39" t="n">
        <f aca="false">OX_EBITDA</f>
        <v>31367510</v>
      </c>
      <c r="D22" s="39" t="n">
        <f aca="false">OX_EBITDA</f>
        <v>37748126.36</v>
      </c>
      <c r="E22" s="39" t="n">
        <f aca="false">OX_EBITDA</f>
        <v>45109575.8549</v>
      </c>
      <c r="F22" s="39" t="n">
        <f aca="false">OX_EBITDA</f>
        <v>53563142.5125435</v>
      </c>
      <c r="G22" s="39" t="n">
        <f aca="false">OX_EBITDA</f>
        <v>63231636.9512036</v>
      </c>
    </row>
    <row r="23" customFormat="false" ht="15" hidden="false" customHeight="false" outlineLevel="0" collapsed="false">
      <c r="A23" s="5"/>
      <c r="B23" s="40" t="s">
        <v>136</v>
      </c>
      <c r="C23" s="39" t="n">
        <f aca="false">C18</f>
        <v>21000839.0666667</v>
      </c>
      <c r="D23" s="39" t="n">
        <f aca="false">D18</f>
        <v>22297970.9886222</v>
      </c>
      <c r="E23" s="39" t="n">
        <f aca="false">E18</f>
        <v>23540271.0433901</v>
      </c>
      <c r="F23" s="39" t="n">
        <f aca="false">F18</f>
        <v>24733571.4815927</v>
      </c>
      <c r="G23" s="39" t="n">
        <f aca="false">G18</f>
        <v>25883553.1269978</v>
      </c>
    </row>
    <row r="24" customFormat="false" ht="15" hidden="false" customHeight="false" outlineLevel="0" collapsed="false">
      <c r="A24" s="5"/>
      <c r="B24" s="45" t="s">
        <v>218</v>
      </c>
      <c r="C24" s="46" t="n">
        <f aca="false">C22-C23</f>
        <v>10366670.9333333</v>
      </c>
      <c r="D24" s="46" t="n">
        <f aca="false">D22-D23</f>
        <v>15450155.3713778</v>
      </c>
      <c r="E24" s="46" t="n">
        <f aca="false">E22-E23</f>
        <v>21569304.8115099</v>
      </c>
      <c r="F24" s="46" t="n">
        <f aca="false">F22-F23</f>
        <v>28829571.0309508</v>
      </c>
      <c r="G24" s="46" t="n">
        <f aca="false">G22-G23</f>
        <v>37348083.8242058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G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219</v>
      </c>
      <c r="C2" s="5"/>
      <c r="D2" s="5"/>
      <c r="E2" s="5"/>
      <c r="F2" s="5"/>
      <c r="G2" s="5"/>
    </row>
    <row r="3" customFormat="false" ht="15" hidden="false" customHeight="false" outlineLevel="0" collapsed="false">
      <c r="A3" s="5"/>
      <c r="B3" s="29" t="s">
        <v>220</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7" t="s">
        <v>70</v>
      </c>
      <c r="C5" s="38" t="n">
        <f aca="false">Base_Year+0</f>
        <v>2025</v>
      </c>
      <c r="D5" s="38" t="n">
        <f aca="false">Base_Year+1</f>
        <v>2026</v>
      </c>
      <c r="E5" s="38" t="n">
        <f aca="false">Base_Year+2</f>
        <v>2027</v>
      </c>
      <c r="F5" s="38" t="n">
        <f aca="false">Base_Year+3</f>
        <v>2028</v>
      </c>
      <c r="G5" s="38" t="n">
        <f aca="false">Base_Year+4</f>
        <v>2029</v>
      </c>
    </row>
    <row r="6" customFormat="false" ht="15" hidden="false" customHeight="false" outlineLevel="0" collapsed="false">
      <c r="A6" s="5"/>
      <c r="B6" s="29" t="s">
        <v>164</v>
      </c>
      <c r="C6" s="34" t="n">
        <f aca="false">COLUMN(C1)-2</f>
        <v>1</v>
      </c>
      <c r="D6" s="34" t="n">
        <f aca="false">COLUMN(D1)-2</f>
        <v>2</v>
      </c>
      <c r="E6" s="34" t="n">
        <f aca="false">COLUMN(E1)-2</f>
        <v>3</v>
      </c>
      <c r="F6" s="34" t="n">
        <f aca="false">COLUMN(F1)-2</f>
        <v>4</v>
      </c>
      <c r="G6" s="34" t="n">
        <f aca="false">COLUMN(G1)-2</f>
        <v>5</v>
      </c>
    </row>
    <row r="7" customFormat="false" ht="15" hidden="false" customHeight="false" outlineLevel="0" collapsed="false">
      <c r="A7" s="5"/>
      <c r="B7" s="5"/>
      <c r="C7" s="5"/>
      <c r="D7" s="5"/>
      <c r="E7" s="5"/>
      <c r="F7" s="5"/>
      <c r="G7" s="5"/>
    </row>
    <row r="8" customFormat="false" ht="15" hidden="false" customHeight="false" outlineLevel="0" collapsed="false">
      <c r="A8" s="5"/>
      <c r="B8" s="32" t="s">
        <v>221</v>
      </c>
      <c r="C8" s="16"/>
      <c r="D8" s="16"/>
      <c r="E8" s="16"/>
      <c r="F8" s="16"/>
      <c r="G8" s="16"/>
    </row>
    <row r="9" customFormat="false" ht="15" hidden="false" customHeight="false" outlineLevel="0" collapsed="false">
      <c r="A9" s="5"/>
      <c r="B9" s="7" t="s">
        <v>222</v>
      </c>
      <c r="C9" s="39" t="n">
        <f aca="false">Opening_Debt</f>
        <v>150000000</v>
      </c>
      <c r="D9" s="39" t="n">
        <f aca="false">C12</f>
        <v>166507551.6</v>
      </c>
      <c r="E9" s="39" t="n">
        <f aca="false">D12</f>
        <v>182456864.7576</v>
      </c>
      <c r="F9" s="39" t="n">
        <f aca="false">E12</f>
        <v>197893504.605804</v>
      </c>
      <c r="G9" s="39" t="n">
        <f aca="false">F12</f>
        <v>212862695.945372</v>
      </c>
    </row>
    <row r="10" customFormat="false" ht="15" hidden="false" customHeight="false" outlineLevel="0" collapsed="false">
      <c r="A10" s="5"/>
      <c r="B10" s="40" t="s">
        <v>223</v>
      </c>
      <c r="C10" s="39" t="n">
        <f aca="false">CD_Total_Capex*Drawdown_Pct</f>
        <v>24007551.6</v>
      </c>
      <c r="D10" s="39" t="n">
        <f aca="false">CD_Total_Capex*Drawdown_Pct</f>
        <v>24274690.7376</v>
      </c>
      <c r="E10" s="39" t="n">
        <f aca="false">CD_Total_Capex*Drawdown_Pct</f>
        <v>24559483.086084</v>
      </c>
      <c r="F10" s="39" t="n">
        <f aca="false">CD_Total_Capex*Drawdown_Pct</f>
        <v>24863866.5698579</v>
      </c>
      <c r="G10" s="39" t="n">
        <f aca="false">CD_Total_Capex*Drawdown_Pct</f>
        <v>25189977.697601</v>
      </c>
    </row>
    <row r="11" customFormat="false" ht="15" hidden="false" customHeight="false" outlineLevel="0" collapsed="false">
      <c r="A11" s="5"/>
      <c r="B11" s="40" t="s">
        <v>224</v>
      </c>
      <c r="C11" s="39" t="n">
        <f aca="false">-C9*Repayment_Pct</f>
        <v>-7500000</v>
      </c>
      <c r="D11" s="39" t="n">
        <f aca="false">-D9*Repayment_Pct</f>
        <v>-8325377.58</v>
      </c>
      <c r="E11" s="39" t="n">
        <f aca="false">-E9*Repayment_Pct</f>
        <v>-9122843.23788</v>
      </c>
      <c r="F11" s="39" t="n">
        <f aca="false">-F9*Repayment_Pct</f>
        <v>-9894675.2302902</v>
      </c>
      <c r="G11" s="39" t="n">
        <f aca="false">-G9*Repayment_Pct</f>
        <v>-10643134.7972686</v>
      </c>
    </row>
    <row r="12" customFormat="false" ht="15" hidden="false" customHeight="false" outlineLevel="0" collapsed="false">
      <c r="A12" s="5"/>
      <c r="B12" s="41" t="s">
        <v>225</v>
      </c>
      <c r="C12" s="42" t="n">
        <f aca="false">C9+C10+C11</f>
        <v>166507551.6</v>
      </c>
      <c r="D12" s="42" t="n">
        <f aca="false">D9+D10+D11</f>
        <v>182456864.7576</v>
      </c>
      <c r="E12" s="42" t="n">
        <f aca="false">E9+E10+E11</f>
        <v>197893504.605804</v>
      </c>
      <c r="F12" s="42" t="n">
        <f aca="false">F9+F10+F11</f>
        <v>212862695.945372</v>
      </c>
      <c r="G12" s="42" t="n">
        <f aca="false">G9+G10+G11</f>
        <v>227409538.845704</v>
      </c>
    </row>
    <row r="13" customFormat="false" ht="15" hidden="false" customHeight="false" outlineLevel="0" collapsed="false">
      <c r="A13" s="5"/>
      <c r="B13" s="5"/>
      <c r="C13" s="5"/>
      <c r="D13" s="5"/>
      <c r="E13" s="5"/>
      <c r="F13" s="5"/>
      <c r="G13" s="5"/>
    </row>
    <row r="14" customFormat="false" ht="15" hidden="false" customHeight="false" outlineLevel="0" collapsed="false">
      <c r="A14" s="5"/>
      <c r="B14" s="32" t="s">
        <v>226</v>
      </c>
      <c r="C14" s="16"/>
      <c r="D14" s="16"/>
      <c r="E14" s="16"/>
      <c r="F14" s="16"/>
      <c r="G14" s="16"/>
    </row>
    <row r="15" customFormat="false" ht="15" hidden="false" customHeight="false" outlineLevel="0" collapsed="false">
      <c r="A15" s="5"/>
      <c r="B15" s="40" t="s">
        <v>227</v>
      </c>
      <c r="C15" s="39" t="n">
        <f aca="false">C9*Interest_Rate</f>
        <v>8250000</v>
      </c>
      <c r="D15" s="39" t="n">
        <f aca="false">D9*Interest_Rate</f>
        <v>9157915.338</v>
      </c>
      <c r="E15" s="39" t="n">
        <f aca="false">E9*Interest_Rate</f>
        <v>10035127.561668</v>
      </c>
      <c r="F15" s="39" t="n">
        <f aca="false">F9*Interest_Rate</f>
        <v>10884142.7533192</v>
      </c>
      <c r="G15" s="39" t="n">
        <f aca="false">G9*Interest_Rate</f>
        <v>11707448.2769954</v>
      </c>
    </row>
    <row r="16" customFormat="false" ht="15" hidden="false" customHeight="false" outlineLevel="0" collapsed="false">
      <c r="A16" s="5"/>
      <c r="B16" s="45" t="s">
        <v>228</v>
      </c>
      <c r="C16" s="46" t="n">
        <f aca="false">-C11+C15</f>
        <v>15750000</v>
      </c>
      <c r="D16" s="46" t="n">
        <f aca="false">-D11+D15</f>
        <v>17483292.918</v>
      </c>
      <c r="E16" s="46" t="n">
        <f aca="false">-E11+E15</f>
        <v>19157970.799548</v>
      </c>
      <c r="F16" s="46" t="n">
        <f aca="false">-F11+F15</f>
        <v>20778817.9836094</v>
      </c>
      <c r="G16" s="46" t="n">
        <f aca="false">-G11+G15</f>
        <v>22350583.074264</v>
      </c>
    </row>
    <row r="17" customFormat="false" ht="15" hidden="false" customHeight="false" outlineLevel="0" collapsed="false">
      <c r="A17" s="5"/>
      <c r="B17" s="5"/>
      <c r="C17" s="5"/>
      <c r="D17" s="5"/>
      <c r="E17" s="5"/>
      <c r="F17" s="5"/>
      <c r="G17" s="5"/>
    </row>
    <row r="18" customFormat="false" ht="15" hidden="false" customHeight="false" outlineLevel="0" collapsed="false">
      <c r="A18" s="5"/>
      <c r="B18" s="32" t="s">
        <v>229</v>
      </c>
      <c r="C18" s="16"/>
      <c r="D18" s="16"/>
      <c r="E18" s="16"/>
      <c r="F18" s="16"/>
      <c r="G18" s="16"/>
    </row>
    <row r="19" customFormat="false" ht="15" hidden="false" customHeight="false" outlineLevel="0" collapsed="false">
      <c r="A19" s="5"/>
      <c r="B19" s="7" t="s">
        <v>230</v>
      </c>
      <c r="C19" s="43" t="n">
        <f aca="false">IFERROR(OX_EBITDA/C16,0)</f>
        <v>1.99158793650794</v>
      </c>
      <c r="D19" s="43" t="n">
        <f aca="false">IFERROR(OX_EBITDA/D16,0)</f>
        <v>2.15909706123703</v>
      </c>
      <c r="E19" s="43" t="n">
        <f aca="false">IFERROR(OX_EBITDA/E16,0)</f>
        <v>2.354611369173</v>
      </c>
      <c r="F19" s="43" t="n">
        <f aca="false">IFERROR(OX_EBITDA/F16,0)</f>
        <v>2.57777620241896</v>
      </c>
      <c r="G19" s="43" t="n">
        <f aca="false">IFERROR(OX_EBITDA/G16,0)</f>
        <v>2.82908220967232</v>
      </c>
    </row>
    <row r="20" customFormat="false" ht="15" hidden="false" customHeight="false" outlineLevel="0" collapsed="false">
      <c r="A20" s="5"/>
      <c r="B20" s="7" t="s">
        <v>231</v>
      </c>
      <c r="C20" s="43" t="n">
        <f aca="false">IFERROR(C12/OX_EBITDA,0)</f>
        <v>5.30828081667942</v>
      </c>
      <c r="D20" s="43" t="n">
        <f aca="false">IFERROR(D12/OX_EBITDA,0)</f>
        <v>4.8335343327382</v>
      </c>
      <c r="E20" s="43" t="n">
        <f aca="false">IFERROR(E12/OX_EBITDA,0)</f>
        <v>4.38695112634955</v>
      </c>
      <c r="F20" s="43" t="n">
        <f aca="false">IFERROR(F12/OX_EBITDA,0)</f>
        <v>3.97405166986838</v>
      </c>
      <c r="G20" s="43" t="n">
        <f aca="false">IFERROR(G12/OX_EBITDA,0)</f>
        <v>3.59645186825067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2026-05-15T18:53:57Z</dcterms:created>
  <dc:creator>openpyxl</dc:creator>
  <dc:description/>
  <dc:language>en-GB</dc:language>
  <cp:lastModifiedBy/>
  <dcterms:modified xsi:type="dcterms:W3CDTF">2026-05-15T18:53:58Z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