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Attendance_Revenue" sheetId="4" state="visible" r:id="rId6"/>
    <sheet name="Operating_Costs" sheetId="5" state="visible" r:id="rId7"/>
    <sheet name="Capex_Depreciation" sheetId="6" state="visible" r:id="rId8"/>
    <sheet name="Debt_Schedule" sheetId="7" state="visible" r:id="rId9"/>
    <sheet name="Income_Statement" sheetId="8" state="visible" r:id="rId10"/>
    <sheet name="Cash_Flow" sheetId="9" state="visible" r:id="rId11"/>
    <sheet name="Balance_Sheet" sheetId="10" state="visible" r:id="rId12"/>
    <sheet name="Returns" sheetId="11" state="visible" r:id="rId13"/>
    <sheet name="Checks" sheetId="12" state="visible" r:id="rId14"/>
  </sheets>
  <definedNames>
    <definedName function="false" hidden="false" name="Admission_Escalation" vbProcedure="false">Assumptions!$C$19</definedName>
    <definedName function="false" hidden="false" name="Attendance_Growth" vbProcedure="false">Assumptions!$C$16</definedName>
    <definedName function="false" hidden="false" name="Avg_Admission_Price" vbProcedure="false">Assumptions!$C$18</definedName>
    <definedName function="false" hidden="false" name="Avg_FB_Spend" vbProcedure="false">Assumptions!$C$21</definedName>
    <definedName function="false" hidden="false" name="Avg_Games_Spend" vbProcedure="false">Assumptions!$C$27</definedName>
    <definedName function="false" hidden="false" name="Avg_Merch_Spend" vbProcedure="false">Assumptions!$C$23</definedName>
    <definedName function="false" hidden="false" name="Avg_Premium_Spend" vbProcedure="false">Assumptions!$C$25</definedName>
    <definedName function="false" hidden="false" name="Avg_Salary" vbProcedure="false">Assumptions!$C$34</definedName>
    <definedName function="false" hidden="false" name="Base_Year" vbProcedure="false">Assumptions!$C$7</definedName>
    <definedName function="false" hidden="false" name="Buildings_Pct" vbProcedure="false">Assumptions!$C$53</definedName>
    <definedName function="false" hidden="false" name="Building_Life" vbProcedure="false">Assumptions!$C$56</definedName>
    <definedName function="false" hidden="false" name="Cost_Escalation" vbProcedure="false">Assumptions!$C$49</definedName>
    <definedName function="false" hidden="false" name="Debt_LTV" vbProcedure="false">Assumptions!$C$61</definedName>
    <definedName function="false" hidden="false" name="DIO_Days" vbProcedure="false">Assumptions!$C$68</definedName>
    <definedName function="false" hidden="false" name="Discount_Rate" vbProcedure="false">Assumptions!$C$72</definedName>
    <definedName function="false" hidden="false" name="DPO_Days" vbProcedure="false">Assumptions!$C$69</definedName>
    <definedName function="false" hidden="false" name="DSO_Days" vbProcedure="false">Assumptions!$C$67</definedName>
    <definedName function="false" hidden="false" name="Entertainment_Pct" vbProcedure="false">Assumptions!$C$47</definedName>
    <definedName function="false" hidden="false" name="Equipment_Life" vbProcedure="false">Assumptions!$C$57</definedName>
    <definedName function="false" hidden="false" name="Equipment_Pct" vbProcedure="false">Assumptions!$C$54</definedName>
    <definedName function="false" hidden="false" name="Exit_Multiple" vbProcedure="false">Assumptions!$C$71</definedName>
    <definedName function="false" hidden="false" name="FB_COGS_Pct" vbProcedure="false">Assumptions!$C$29</definedName>
    <definedName function="false" hidden="false" name="FB_Penetration" vbProcedure="false">Assumptions!$C$20</definedName>
    <definedName function="false" hidden="false" name="Games_COGS_Pct" vbProcedure="false">Assumptions!$C$31</definedName>
    <definedName function="false" hidden="false" name="Games_Penetration" vbProcedure="false">Assumptions!$C$26</definedName>
    <definedName function="false" hidden="false" name="GA_Pct" vbProcedure="false">Assumptions!$C$46</definedName>
    <definedName function="false" hidden="false" name="Growth_Capex_Amt" vbProcedure="false">Assumptions!$C$59</definedName>
    <definedName function="false" hidden="false" name="Hours_Per_Week" vbProcedure="false">Assumptions!$C$39</definedName>
    <definedName function="false" hidden="false" name="Initial_Cost" vbProcedure="false">Assumptions!$C$51</definedName>
    <definedName function="false" hidden="false" name="Insurance_Pct" vbProcedure="false">Assumptions!$C$42</definedName>
    <definedName function="false" hidden="false" name="Interest_Rate" vbProcedure="false">Assumptions!$C$62</definedName>
    <definedName function="false" hidden="false" name="IO_Period" vbProcedure="false">Assumptions!$C$64</definedName>
    <definedName function="false" hidden="false" name="Loan_Term" vbProcedure="false">Assumptions!$C$63</definedName>
    <definedName function="false" hidden="false" name="Maint_Capex_Pct" vbProcedure="false">Assumptions!$C$58</definedName>
    <definedName function="false" hidden="false" name="Maint_OpEx_Pct" vbProcedure="false">Assumptions!$C$44</definedName>
    <definedName function="false" hidden="false" name="Marketing_Pct" vbProcedure="false">Assumptions!$C$43</definedName>
    <definedName function="false" hidden="false" name="Max_Daily_Capacity" vbProcedure="false">Assumptions!$C$11</definedName>
    <definedName function="false" hidden="false" name="Merch_COGS_Pct" vbProcedure="false">Assumptions!$C$30</definedName>
    <definedName function="false" hidden="false" name="Merch_Penetration" vbProcedure="false">Assumptions!$C$22</definedName>
    <definedName function="false" hidden="false" name="Operating_Days" vbProcedure="false">Assumptions!$C$12</definedName>
    <definedName function="false" hidden="false" name="Payroll_Burden" vbProcedure="false">Assumptions!$C$35</definedName>
    <definedName function="false" hidden="false" name="Premium_Attach" vbProcedure="false">Assumptions!$C$24</definedName>
    <definedName function="false" hidden="false" name="Projection_Period" vbProcedure="false">Assumptions!$C$8</definedName>
    <definedName function="false" hidden="false" name="Property_Tax" vbProcedure="false">Assumptions!$C$45</definedName>
    <definedName function="false" hidden="false" name="Ramp_Yr1" vbProcedure="false">Assumptions!$C$13</definedName>
    <definedName function="false" hidden="false" name="Ramp_Yr2" vbProcedure="false">Assumptions!$C$14</definedName>
    <definedName function="false" hidden="false" name="Ramp_Yr3" vbProcedure="false">Assumptions!$C$15</definedName>
    <definedName function="false" hidden="false" name="Rides_Pct" vbProcedure="false">Assumptions!$C$52</definedName>
    <definedName function="false" hidden="false" name="Ride_Life" vbProcedure="false">Assumptions!$C$55</definedName>
    <definedName function="false" hidden="false" name="Salaried_Headcount" vbProcedure="false">Assumptions!$C$33</definedName>
    <definedName function="false" hidden="false" name="Seasonal_Hourly" vbProcedure="false">Assumptions!$C$37</definedName>
    <definedName function="false" hidden="false" name="Seasonal_Staff" vbProcedure="false">Assumptions!$C$36</definedName>
    <definedName function="false" hidden="false" name="Seasonal_Weeks" vbProcedure="false">Assumptions!$C$38</definedName>
    <definedName function="false" hidden="false" name="Stabilised_Attendance" vbProcedure="false">Assumptions!$C$10</definedName>
    <definedName function="false" hidden="false" name="Target_Equity_Mult" vbProcedure="false">Assumptions!$C$74</definedName>
    <definedName function="false" hidden="false" name="Target_IRR" vbProcedure="false">Assumptions!$C$73</definedName>
    <definedName function="false" hidden="false" name="Tax_Rate" vbProcedure="false">Assumptions!$C$66</definedName>
    <definedName function="false" hidden="false" name="Utilities_Pct" vbProcedure="false">Assumptions!$C$41</definedName>
    <definedName function="false" hidden="false" name="Wage_Escalation" vbProcedure="false">Assumptions!$C$48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<sst xmlns="http://schemas.openxmlformats.org/spreadsheetml/2006/main" count="461" uniqueCount="354">
  <si>
    <t xml:space="preserve">Theme Park Financial Model</t>
  </si>
  <si>
    <t xml:space="preserve">FINAMODEL.com</t>
  </si>
  <si>
    <t xml:space="preserve">Investment analysis</t>
  </si>
  <si>
    <t xml:space="preserve">Model Structure</t>
  </si>
  <si>
    <t xml:space="preserve">Cover</t>
  </si>
  <si>
    <t xml:space="preserve">Title and navigation</t>
  </si>
  <si>
    <t xml:space="preserve">Assumptions</t>
  </si>
  <si>
    <t xml:space="preserve">Input parameters</t>
  </si>
  <si>
    <t xml:space="preserve">Attendance_Revenue</t>
  </si>
  <si>
    <t xml:space="preserve">Visitors and revenue</t>
  </si>
  <si>
    <t xml:space="preserve">Operating_Costs</t>
  </si>
  <si>
    <t xml:space="preserve">COGS, payroll, opex</t>
  </si>
  <si>
    <t xml:space="preserve">Capex_Depreciation</t>
  </si>
  <si>
    <t xml:space="preserve">Capital and depreciation</t>
  </si>
  <si>
    <t xml:space="preserve">Debt_Schedule</t>
  </si>
  <si>
    <t xml:space="preserve">Financing and metrics</t>
  </si>
  <si>
    <t xml:space="preserve">Income_Statement</t>
  </si>
  <si>
    <t xml:space="preserve">Profit and loss</t>
  </si>
  <si>
    <t xml:space="preserve">Cash_Flow</t>
  </si>
  <si>
    <t xml:space="preserve">Cash flow statement</t>
  </si>
  <si>
    <t xml:space="preserve">Balance_Sheet</t>
  </si>
  <si>
    <t xml:space="preserve">Financial position</t>
  </si>
  <si>
    <t xml:space="preserve">Returns</t>
  </si>
  <si>
    <t xml:space="preserve">IRR and valuation</t>
  </si>
  <si>
    <t xml:space="preserve">Checks</t>
  </si>
  <si>
    <t xml:space="preserve">Validation checks</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</si>
  <si>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</si>
  <si>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</si>
  <si>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</si>
  <si>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</si>
  <si>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</si>
  <si>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</si>
  <si>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</si>
  <si>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schedules</t>
  </si>
  <si>
    <t xml:space="preserve">Red</t>
  </si>
  <si>
    <t xml:space="preserve">Debt / Risk / Checks</t>
  </si>
  <si>
    <t xml:space="preserve">Grey</t>
  </si>
  <si>
    <t xml:space="preserve">Summary / Output</t>
  </si>
  <si>
    <t xml:space="preserve">About this model</t>
  </si>
  <si>
    <t xml:space="preserve">Model theme park operating economics with seasonal attendance patterns, dynamic pricing, multiple revenue streams (admissions, food, merchandise, premium experiences), and significant operating leverage. The model captures peak-season revenue concentration (50â60% in Q2âQ3), seasonal staffing ramps (600+ FTEs in summer vs. 80 salaried year-round), and capacity constraints. Per-capita spending by stream is tracked separately: $65 admissions, $22 food &amp; beverage, $18 merchandise, $35 premium (skip-the-line, VIP tours), and $10 games.
The workbook includes a ramp-up curve (60%, 80%, 90% of stabilized attendance in years 1â3), per-capita spending escalation, and fixed/variable cost segregation. EBITDA margins are 25â40% depending on scale and utilization. Capex includes major attractions ($15â40M per ride), with payback periods of 4â7 years. Debt service coverage (DSCR) is stressed across multiple attendance scenarios; maintenance capex is hardcoded at 5% of revenue (required for ride safety compliance).
Equity returns are driven by attendance growth, per-capita pricing power, and seasonal cash generation. Regional parks generate $20â150M annual revenue; destination parks (Disney, Universal) exceed $1B. Typical leverage is 3â5x Debt/EBITDA; dividend norms are modest (1â3% yield) with cash reinvested in growth capex.</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</si>
  <si>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</si>
  <si>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</si>
  <si>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</si>
  <si>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</si>
  <si>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</si>
  <si>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</si>
  <si>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</si>
  <si>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</si>
  <si>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</si>
  <si>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</si>
  <si>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</si>
  <si>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</si>
  <si>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</si>
  <si>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</si>
  <si>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</si>
  <si>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</si>
  <si>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</si>
  <si>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</si>
  <si>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</si>
  <si>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</si>
  <si>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</si>
  <si>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Parameter</t>
  </si>
  <si>
    <t xml:space="preserve">Value</t>
  </si>
  <si>
    <t xml:space="preserve">Unit</t>
  </si>
  <si>
    <t xml:space="preserve">Notes</t>
  </si>
  <si>
    <t xml:space="preserve">General</t>
  </si>
  <si>
    <t xml:space="preserve">Base Year</t>
  </si>
  <si>
    <t xml:space="preserve">Year</t>
  </si>
  <si>
    <t xml:space="preserve">First full operating year</t>
  </si>
  <si>
    <t xml:space="preserve">Projection Period</t>
  </si>
  <si>
    <t xml:space="preserve">Years</t>
  </si>
  <si>
    <t xml:space="preserve">Forecast horizon</t>
  </si>
  <si>
    <t xml:space="preserve">Attendance</t>
  </si>
  <si>
    <t xml:space="preserve">Stabilised Attendance</t>
  </si>
  <si>
    <t xml:space="preserve">Visitors/yr</t>
  </si>
  <si>
    <t xml:space="preserve">At full maturity</t>
  </si>
  <si>
    <t xml:space="preserve">Max Daily Capacity</t>
  </si>
  <si>
    <t xml:space="preserve">Visitors/day</t>
  </si>
  <si>
    <t xml:space="preserve">Physical limit</t>
  </si>
  <si>
    <t xml:space="preserve">Operating Days</t>
  </si>
  <si>
    <t xml:space="preserve">Days/yr</t>
  </si>
  <si>
    <t xml:space="preserve">Extended warm-climate season</t>
  </si>
  <si>
    <t xml:space="preserve">Year 1 Ramp</t>
  </si>
  <si>
    <t xml:space="preserve">%</t>
  </si>
  <si>
    <t xml:space="preserve">% of stabilised</t>
  </si>
  <si>
    <t xml:space="preserve">Year 2 Ramp</t>
  </si>
  <si>
    <t xml:space="preserve">Year 3 Ramp</t>
  </si>
  <si>
    <t xml:space="preserve">Post-Stabilised Growth</t>
  </si>
  <si>
    <t xml:space="preserve">%/yr</t>
  </si>
  <si>
    <t xml:space="preserve">Population and tourism</t>
  </si>
  <si>
    <t xml:space="preserve">Per-Capita Revenue</t>
  </si>
  <si>
    <t xml:space="preserve">Avg Admission Price</t>
  </si>
  <si>
    <t xml:space="preserve">$/visitor</t>
  </si>
  <si>
    <t xml:space="preserve">Regional park gate price</t>
  </si>
  <si>
    <t xml:space="preserve">Price Escalation</t>
  </si>
  <si>
    <t xml:space="preserve">Above-inflation pricing power</t>
  </si>
  <si>
    <t xml:space="preserve">F&amp;B Penetration</t>
  </si>
  <si>
    <t xml:space="preserve">Share of visitors who buy F&amp;B</t>
  </si>
  <si>
    <t xml:space="preserve">Avg F&amp;B Spend</t>
  </si>
  <si>
    <t xml:space="preserve">$/guest</t>
  </si>
  <si>
    <t xml:space="preserve">Quick-service dominated</t>
  </si>
  <si>
    <t xml:space="preserve">Merch Penetration</t>
  </si>
  <si>
    <t xml:space="preserve">Share of visitors who buy merch</t>
  </si>
  <si>
    <t xml:space="preserve">Avg Merch Spend</t>
  </si>
  <si>
    <t xml:space="preserve">Souvenirs and branded items</t>
  </si>
  <si>
    <t xml:space="preserve">Premium Attach Rate</t>
  </si>
  <si>
    <t xml:space="preserve">Skip-the-line / VIP</t>
  </si>
  <si>
    <t xml:space="preserve">Avg Premium Spend</t>
  </si>
  <si>
    <t xml:space="preserve">Express pass pricing</t>
  </si>
  <si>
    <t xml:space="preserve">Games Penetration</t>
  </si>
  <si>
    <t xml:space="preserve">Midway and arcade</t>
  </si>
  <si>
    <t xml:space="preserve">Avg Games Spend</t>
  </si>
  <si>
    <t xml:space="preserve">Micro-transactions</t>
  </si>
  <si>
    <t xml:space="preserve">Cost of Goods Sold</t>
  </si>
  <si>
    <t xml:space="preserve">F&amp;B COGS</t>
  </si>
  <si>
    <t xml:space="preserve">% of F&amp;B revenue</t>
  </si>
  <si>
    <t xml:space="preserve">Merch COGS</t>
  </si>
  <si>
    <t xml:space="preserve">Includes IP licensing</t>
  </si>
  <si>
    <t xml:space="preserve">Games COGS</t>
  </si>
  <si>
    <t xml:space="preserve">Prizes and maintenance</t>
  </si>
  <si>
    <t xml:space="preserve">Staffing</t>
  </si>
  <si>
    <t xml:space="preserve">Salaried Headcount</t>
  </si>
  <si>
    <t xml:space="preserve">FTEs</t>
  </si>
  <si>
    <t xml:space="preserve">Year-round mgmt and maint</t>
  </si>
  <si>
    <t xml:space="preserve">Avg Salary</t>
  </si>
  <si>
    <t xml:space="preserve">$/yr</t>
  </si>
  <si>
    <t xml:space="preserve">Blended salaried</t>
  </si>
  <si>
    <t xml:space="preserve">Payroll Burden</t>
  </si>
  <si>
    <t xml:space="preserve">Tax, insurance, benefits</t>
  </si>
  <si>
    <t xml:space="preserve">Seasonal Staff (Peak)</t>
  </si>
  <si>
    <t xml:space="preserve">Summer peak headcount</t>
  </si>
  <si>
    <t xml:space="preserve">Seasonal Hourly Rate</t>
  </si>
  <si>
    <t xml:space="preserve">$/hr</t>
  </si>
  <si>
    <t xml:space="preserve">Blended hourly</t>
  </si>
  <si>
    <t xml:space="preserve">Seasonal Weeks</t>
  </si>
  <si>
    <t xml:space="preserve">Weeks</t>
  </si>
  <si>
    <t xml:space="preserve">Peak operating season</t>
  </si>
  <si>
    <t xml:space="preserve">Hours per Week</t>
  </si>
  <si>
    <t xml:space="preserve">Hours</t>
  </si>
  <si>
    <t xml:space="preserve">Average scheduled hours</t>
  </si>
  <si>
    <t xml:space="preserve">Operating Expenses</t>
  </si>
  <si>
    <t xml:space="preserve">Utilities</t>
  </si>
  <si>
    <t xml:space="preserve">% of revenue</t>
  </si>
  <si>
    <t xml:space="preserve">Insurance</t>
  </si>
  <si>
    <t xml:space="preserve">Marketing</t>
  </si>
  <si>
    <t xml:space="preserve">Maintenance OpEx</t>
  </si>
  <si>
    <t xml:space="preserve">Property Tax</t>
  </si>
  <si>
    <t xml:space="preserve">Based on land value</t>
  </si>
  <si>
    <t xml:space="preserve">G&amp;A</t>
  </si>
  <si>
    <t xml:space="preserve">Entertainment/Shows</t>
  </si>
  <si>
    <t xml:space="preserve">Wage Escalation</t>
  </si>
  <si>
    <t xml:space="preserve">Labour inflation</t>
  </si>
  <si>
    <t xml:space="preserve">Cost Escalation</t>
  </si>
  <si>
    <t xml:space="preserve">General inflation</t>
  </si>
  <si>
    <t xml:space="preserve">Capital Expenditure</t>
  </si>
  <si>
    <t xml:space="preserve">Initial Build Cost</t>
  </si>
  <si>
    <t xml:space="preserve">$</t>
  </si>
  <si>
    <t xml:space="preserve">Total greenfield development</t>
  </si>
  <si>
    <t xml:space="preserve">Rides &amp; Attractions</t>
  </si>
  <si>
    <t xml:space="preserve">Share of initial cost</t>
  </si>
  <si>
    <t xml:space="preserve">Buildings &amp; Infra</t>
  </si>
  <si>
    <t xml:space="preserve">Equipment &amp; Fit-Out</t>
  </si>
  <si>
    <t xml:space="preserve">Ride Useful Life</t>
  </si>
  <si>
    <t xml:space="preserve">Major ride depreciation</t>
  </si>
  <si>
    <t xml:space="preserve">Building Useful Life</t>
  </si>
  <si>
    <t xml:space="preserve">Structural depreciation</t>
  </si>
  <si>
    <t xml:space="preserve">Equipment Useful Life</t>
  </si>
  <si>
    <t xml:space="preserve">F&amp;B, retail, show equipment</t>
  </si>
  <si>
    <t xml:space="preserve">Maintenance Capex</t>
  </si>
  <si>
    <t xml:space="preserve">Growth Capex</t>
  </si>
  <si>
    <t xml:space="preserve">New attractions (from Year 3)</t>
  </si>
  <si>
    <t xml:space="preserve">Financing</t>
  </si>
  <si>
    <t xml:space="preserve">Debt LTV</t>
  </si>
  <si>
    <t xml:space="preserve">Senior secured debt</t>
  </si>
  <si>
    <t xml:space="preserve">Interest Rate</t>
  </si>
  <si>
    <t xml:space="preserve">Term loan rate</t>
  </si>
  <si>
    <t xml:space="preserve">Loan Term</t>
  </si>
  <si>
    <t xml:space="preserve">Amortisation schedule</t>
  </si>
  <si>
    <t xml:space="preserve">Interest-Only Period</t>
  </si>
  <si>
    <t xml:space="preserve">During ramp-up</t>
  </si>
  <si>
    <t xml:space="preserve">Tax &amp; Working Capital</t>
  </si>
  <si>
    <t xml:space="preserve">Tax Rate</t>
  </si>
  <si>
    <t xml:space="preserve">Corporate tax</t>
  </si>
  <si>
    <t xml:space="preserve">DSO</t>
  </si>
  <si>
    <t xml:space="preserve">Days</t>
  </si>
  <si>
    <t xml:space="preserve">Credit card receivables</t>
  </si>
  <si>
    <t xml:space="preserve">DIO</t>
  </si>
  <si>
    <t xml:space="preserve">F&amp;B and merch inventory</t>
  </si>
  <si>
    <t xml:space="preserve">DPO</t>
  </si>
  <si>
    <t xml:space="preserve">Supplier payment terms</t>
  </si>
  <si>
    <t xml:space="preserve">Valuation &amp; Returns</t>
  </si>
  <si>
    <t xml:space="preserve">Exit EV/EBITDA</t>
  </si>
  <si>
    <t xml:space="preserve">x</t>
  </si>
  <si>
    <t xml:space="preserve">Regional park valuation</t>
  </si>
  <si>
    <t xml:space="preserve">Discount Rate (WACC)</t>
  </si>
  <si>
    <t xml:space="preserve">Blended cost of capital</t>
  </si>
  <si>
    <t xml:space="preserve">Target Levered IRR</t>
  </si>
  <si>
    <t xml:space="preserve">Equity return hurdle</t>
  </si>
  <si>
    <t xml:space="preserve">Target Equity Multiple</t>
  </si>
  <si>
    <t xml:space="preserve">MOIC target</t>
  </si>
  <si>
    <t xml:space="preserve">Attendance &amp; Revenue</t>
  </si>
  <si>
    <t xml:space="preserve">Revenue build</t>
  </si>
  <si>
    <t xml:space="preserve">Year Number</t>
  </si>
  <si>
    <t xml:space="preserve">Attendance Build</t>
  </si>
  <si>
    <t xml:space="preserve">Ramp / Growth %</t>
  </si>
  <si>
    <t xml:space="preserve">Raw Attendance</t>
  </si>
  <si>
    <t xml:space="preserve">Max Annual Capacity</t>
  </si>
  <si>
    <t xml:space="preserve">ATTENDANCE</t>
  </si>
  <si>
    <t xml:space="preserve">Revenue Build</t>
  </si>
  <si>
    <t xml:space="preserve">Admission Price</t>
  </si>
  <si>
    <t xml:space="preserve">Admissions Revenue</t>
  </si>
  <si>
    <t xml:space="preserve">F&amp;B Guests</t>
  </si>
  <si>
    <t xml:space="preserve">F&amp;B Spend / Guest</t>
  </si>
  <si>
    <t xml:space="preserve">F&amp;B Revenue</t>
  </si>
  <si>
    <t xml:space="preserve">Merch Guests</t>
  </si>
  <si>
    <t xml:space="preserve">Merch Spend / Guest</t>
  </si>
  <si>
    <t xml:space="preserve">Merch Revenue</t>
  </si>
  <si>
    <t xml:space="preserve">Premium Guests</t>
  </si>
  <si>
    <t xml:space="preserve">Premium Spend / Guest</t>
  </si>
  <si>
    <t xml:space="preserve">Premium Revenue</t>
  </si>
  <si>
    <t xml:space="preserve">Games Guests</t>
  </si>
  <si>
    <t xml:space="preserve">Games Spend / Guest</t>
  </si>
  <si>
    <t xml:space="preserve">Games Revenue</t>
  </si>
  <si>
    <t xml:space="preserve">TOTAL REVENUE</t>
  </si>
  <si>
    <t xml:space="preserve">Per-Capita Spend</t>
  </si>
  <si>
    <t xml:space="preserve">Operating Costs</t>
  </si>
  <si>
    <t xml:space="preserve">Cost structure</t>
  </si>
  <si>
    <t xml:space="preserve">TOTAL COGS</t>
  </si>
  <si>
    <t xml:space="preserve">Gross Profit</t>
  </si>
  <si>
    <t xml:space="preserve">Gross Margin</t>
  </si>
  <si>
    <t xml:space="preserve">Staffing &amp; Payroll</t>
  </si>
  <si>
    <t xml:space="preserve">Salaried Payroll</t>
  </si>
  <si>
    <t xml:space="preserve">Seasonal Labour</t>
  </si>
  <si>
    <t xml:space="preserve">TOTAL PAYROLL</t>
  </si>
  <si>
    <t xml:space="preserve">TOTAL OPEX</t>
  </si>
  <si>
    <t xml:space="preserve">EBITDA</t>
  </si>
  <si>
    <t xml:space="preserve">EBITDA Margin</t>
  </si>
  <si>
    <t xml:space="preserve">Capex &amp; Depreciation</t>
  </si>
  <si>
    <t xml:space="preserve">Capital schedule</t>
  </si>
  <si>
    <t xml:space="preserve">Initial Capital</t>
  </si>
  <si>
    <t xml:space="preserve">Total Initial Capex</t>
  </si>
  <si>
    <t xml:space="preserve">Ongoing Capital</t>
  </si>
  <si>
    <t xml:space="preserve">Total Ongoing Capex</t>
  </si>
  <si>
    <t xml:space="preserve">TOTAL CAPEX</t>
  </si>
  <si>
    <t xml:space="preserve">Depreciation</t>
  </si>
  <si>
    <t xml:space="preserve">Rides Depreciation</t>
  </si>
  <si>
    <t xml:space="preserve">Buildings Depreciation</t>
  </si>
  <si>
    <t xml:space="preserve">Equipment Depreciation</t>
  </si>
  <si>
    <t xml:space="preserve">Maint Capex Dep</t>
  </si>
  <si>
    <t xml:space="preserve">Growth Capex Dep</t>
  </si>
  <si>
    <t xml:space="preserve">TOTAL DEPRECIATION</t>
  </si>
  <si>
    <t xml:space="preserve">Net PP&amp;E</t>
  </si>
  <si>
    <t xml:space="preserve">Gross PP&amp;E</t>
  </si>
  <si>
    <t xml:space="preserve">Accum Depreciation</t>
  </si>
  <si>
    <t xml:space="preserve">NET PP&amp;E</t>
  </si>
  <si>
    <t xml:space="preserve">Debt Schedule</t>
  </si>
  <si>
    <t xml:space="preserve">Financing terms</t>
  </si>
  <si>
    <t xml:space="preserve">Loan Sizing</t>
  </si>
  <si>
    <t xml:space="preserve">Loan Amount</t>
  </si>
  <si>
    <t xml:space="preserve">Debt Balance Walk</t>
  </si>
  <si>
    <t xml:space="preserve">Opening Balance</t>
  </si>
  <si>
    <t xml:space="preserve">Principal Repayment</t>
  </si>
  <si>
    <t xml:space="preserve">Closing Balance</t>
  </si>
  <si>
    <t xml:space="preserve">Debt Service</t>
  </si>
  <si>
    <t xml:space="preserve">Interest Expense</t>
  </si>
  <si>
    <t xml:space="preserve">Total Debt Service</t>
  </si>
  <si>
    <t xml:space="preserve">DSCR</t>
  </si>
  <si>
    <t xml:space="preserve">Income Statement</t>
  </si>
  <si>
    <t xml:space="preserve">Revenue</t>
  </si>
  <si>
    <t xml:space="preserve">Admissions</t>
  </si>
  <si>
    <t xml:space="preserve">Food &amp; Beverage</t>
  </si>
  <si>
    <t xml:space="preserve">Merchandise</t>
  </si>
  <si>
    <t xml:space="preserve">Premium Experiences</t>
  </si>
  <si>
    <t xml:space="preserve">Games &amp; Arcades</t>
  </si>
  <si>
    <t xml:space="preserve">Total COGS</t>
  </si>
  <si>
    <t xml:space="preserve">GROSS PROFIT</t>
  </si>
  <si>
    <t xml:space="preserve">Payroll</t>
  </si>
  <si>
    <t xml:space="preserve">Other OpEx</t>
  </si>
  <si>
    <t xml:space="preserve">EBIT</t>
  </si>
  <si>
    <t xml:space="preserve">EBT</t>
  </si>
  <si>
    <t xml:space="preserve">Tax</t>
  </si>
  <si>
    <t xml:space="preserve">NET INCOME</t>
  </si>
  <si>
    <t xml:space="preserve">Net Margin</t>
  </si>
  <si>
    <t xml:space="preserve">Cash Flow Statement</t>
  </si>
  <si>
    <t xml:space="preserve">Indirect method</t>
  </si>
  <si>
    <t xml:space="preserve">Cash from Operations</t>
  </si>
  <si>
    <t xml:space="preserve">Net Income</t>
  </si>
  <si>
    <t xml:space="preserve">Depreciation (Add-Back)</t>
  </si>
  <si>
    <t xml:space="preserve">Change in Receivables</t>
  </si>
  <si>
    <t xml:space="preserve">Change in Inventory</t>
  </si>
  <si>
    <t xml:space="preserve">Change in Payables</t>
  </si>
  <si>
    <t xml:space="preserve">CASH FROM OPERATIONS</t>
  </si>
  <si>
    <t xml:space="preserve">Cash from Investing</t>
  </si>
  <si>
    <t xml:space="preserve">CASH FROM INVESTING</t>
  </si>
  <si>
    <t xml:space="preserve">Cash from Financing</t>
  </si>
  <si>
    <t xml:space="preserve">Equity Injection</t>
  </si>
  <si>
    <t xml:space="preserve">Debt Drawdown</t>
  </si>
  <si>
    <t xml:space="preserve">CASH FROM FINANCING</t>
  </si>
  <si>
    <t xml:space="preserve">Net Change in Cash</t>
  </si>
  <si>
    <t xml:space="preserve">Opening Cash</t>
  </si>
  <si>
    <t xml:space="preserve">CLOSING CASH</t>
  </si>
  <si>
    <t xml:space="preserve">Balance Sheet</t>
  </si>
  <si>
    <t xml:space="preserve">Assets</t>
  </si>
  <si>
    <t xml:space="preserve">Cash</t>
  </si>
  <si>
    <t xml:space="preserve">Accounts Receivable</t>
  </si>
  <si>
    <t xml:space="preserve">Inventory</t>
  </si>
  <si>
    <t xml:space="preserve">Total Current Assets</t>
  </si>
  <si>
    <t xml:space="preserve">TOTAL ASSETS</t>
  </si>
  <si>
    <t xml:space="preserve">Liabilities</t>
  </si>
  <si>
    <t xml:space="preserve">Accounts Payable</t>
  </si>
  <si>
    <t xml:space="preserve">Total Current Liabilities</t>
  </si>
  <si>
    <t xml:space="preserve">Long-Term Debt</t>
  </si>
  <si>
    <t xml:space="preserve">TOTAL LIABILITIES</t>
  </si>
  <si>
    <t xml:space="preserve">Equity</t>
  </si>
  <si>
    <t xml:space="preserve">Share Capital</t>
  </si>
  <si>
    <t xml:space="preserve">Retained Earnings</t>
  </si>
  <si>
    <t xml:space="preserve">TOTAL EQUITY</t>
  </si>
  <si>
    <t xml:space="preserve">TOTAL L&amp;E</t>
  </si>
  <si>
    <t xml:space="preserve">Balance Check</t>
  </si>
  <si>
    <t xml:space="preserve">Returns &amp; Valuation</t>
  </si>
  <si>
    <t xml:space="preserve">IRR and multiples</t>
  </si>
  <si>
    <t xml:space="preserve">Unlevered Free Cash Flow</t>
  </si>
  <si>
    <t xml:space="preserve">Tax on EBIT</t>
  </si>
  <si>
    <t xml:space="preserve">Capex</t>
  </si>
  <si>
    <t xml:space="preserve">WC Change</t>
  </si>
  <si>
    <t xml:space="preserve">UNLEVERED FCF</t>
  </si>
  <si>
    <t xml:space="preserve">Levered Free Cash Flow</t>
  </si>
  <si>
    <t xml:space="preserve">LEVERED FCF</t>
  </si>
  <si>
    <t xml:space="preserve">Exit Valuation</t>
  </si>
  <si>
    <t xml:space="preserve">Exit Year EBITDA</t>
  </si>
  <si>
    <t xml:space="preserve">Enterprise Value</t>
  </si>
  <si>
    <t xml:space="preserve">Less: Debt Repayment</t>
  </si>
  <si>
    <t xml:space="preserve">Equity Proceeds</t>
  </si>
  <si>
    <t xml:space="preserve">IRR Cash Flow Streams</t>
  </si>
  <si>
    <t xml:space="preserve">Unlevered Stream</t>
  </si>
  <si>
    <t xml:space="preserve">Levered Stream</t>
  </si>
  <si>
    <t xml:space="preserve">Return Metrics</t>
  </si>
  <si>
    <t xml:space="preserve">Unlevered IRR</t>
  </si>
  <si>
    <t xml:space="preserve">Levered IRR</t>
  </si>
  <si>
    <t xml:space="preserve">Equity Multiple</t>
  </si>
  <si>
    <t xml:space="preserve">Unlevered NPV</t>
  </si>
  <si>
    <t xml:space="preserve">Benchmark Checks</t>
  </si>
  <si>
    <t xml:space="preserve">IRR vs Target</t>
  </si>
  <si>
    <t xml:space="preserve">Multiple vs Target</t>
  </si>
  <si>
    <t xml:space="preserve">Validation Checks</t>
  </si>
  <si>
    <t xml:space="preserve">Model integrity</t>
  </si>
  <si>
    <t xml:space="preserve">Check</t>
  </si>
  <si>
    <t xml:space="preserve">BS Balance</t>
  </si>
  <si>
    <t xml:space="preserve">DSCR &gt; 1.20x</t>
  </si>
  <si>
    <t xml:space="preserve">Cash &gt;= 0</t>
  </si>
  <si>
    <t xml:space="preserve">Payroll 20-40%</t>
  </si>
  <si>
    <t xml:space="preserve">Gross Margin 60-80%</t>
  </si>
  <si>
    <t xml:space="preserve">Net PP&amp;E &gt;= 0</t>
  </si>
  <si>
    <t xml:space="preserve">Attendance &lt;= Capacity</t>
  </si>
</sst>
</file>

<file path=xl/styles.xml><?xml version="1.0" encoding="utf-8"?>
<styleSheet xmlns="http://schemas.openxmlformats.org/spreadsheetml/2006/main">
  <numFmts count="7">
    <numFmt numFmtId="164" formatCode="General"/>
    <numFmt numFmtId="165" formatCode="#,##0.00"/>
    <numFmt numFmtId="166" formatCode="0.00%"/>
    <numFmt numFmtId="167" formatCode="\$#,##0.00"/>
    <numFmt numFmtId="168" formatCode="0.00\x"/>
    <numFmt numFmtId="169" formatCode="0"/>
    <numFmt numFmtId="170" formatCode="@"/>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
      <sz val="11"/>
      <color rgb="FF000000"/>
      <name val="Arial"/>
      <family val="0"/>
      <charset val="1"/>
    </font>
    <font>
      <b val="true"/>
      <sz val="11"/>
      <color rgb="FF006100"/>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21" fillId="11" borderId="0" xfId="0" applyFont="true" applyBorder="false" applyAlignment="true" applyProtection="false">
      <alignment horizontal="right" vertical="center" textRotation="0" wrapText="false" indent="0" shrinkToFit="false"/>
      <protection locked="true" hidden="false"/>
    </xf>
    <xf numFmtId="168" fontId="21" fillId="11" borderId="0" xfId="0" applyFont="true" applyBorder="false" applyAlignment="true" applyProtection="false">
      <alignment horizontal="right" vertical="center" textRotation="0" wrapText="false" indent="0" shrinkToFit="false"/>
      <protection locked="true" hidden="false"/>
    </xf>
    <xf numFmtId="169" fontId="16" fillId="9" borderId="0" xfId="0" applyFont="true" applyBorder="false" applyAlignment="true" applyProtection="false">
      <alignment horizontal="center"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6" fontId="22"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1" shrinkToFit="false"/>
      <protection locked="true" hidden="false"/>
    </xf>
    <xf numFmtId="168" fontId="22"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left" vertical="center" textRotation="0" wrapText="false" indent="0" shrinkToFit="false"/>
      <protection locked="true" hidden="false"/>
    </xf>
    <xf numFmtId="170" fontId="22"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3"/>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4"/>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4"/>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3"/>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27</v>
      </c>
      <c r="C22" s="8" t="s">
        <v>4</v>
      </c>
      <c r="D22" s="9"/>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28</v>
      </c>
      <c r="C23" s="8" t="s">
        <v>29</v>
      </c>
      <c r="D23" s="10"/>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30</v>
      </c>
      <c r="C24" s="8" t="s">
        <v>31</v>
      </c>
      <c r="D24" s="11"/>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32</v>
      </c>
      <c r="C25" s="8" t="s">
        <v>33</v>
      </c>
      <c r="D25" s="12"/>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34</v>
      </c>
      <c r="C26" s="8" t="s">
        <v>35</v>
      </c>
      <c r="D26" s="13"/>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36</v>
      </c>
      <c r="C27" s="8" t="s">
        <v>37</v>
      </c>
      <c r="D27" s="14"/>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38</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195.75" hidden="false" customHeight="true" outlineLevel="0" collapsed="false">
      <c r="A31" s="5"/>
      <c r="B31" s="17" t="s">
        <v>39</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5" t="s">
        <v>40</v>
      </c>
      <c r="C33" s="16"/>
      <c r="D33" s="16"/>
      <c r="E33" s="16"/>
      <c r="F33" s="16"/>
      <c r="G33" s="16"/>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7" t="s">
        <v>41</v>
      </c>
      <c r="C34" s="17"/>
      <c r="D34" s="17"/>
      <c r="E34" s="17"/>
      <c r="F34" s="17"/>
      <c r="G34" s="17"/>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8" t="s">
        <v>42</v>
      </c>
      <c r="C35" s="18"/>
      <c r="D35" s="18"/>
      <c r="E35" s="18"/>
      <c r="F35" s="18"/>
      <c r="G35" s="18"/>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9" t="s">
        <v>43</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301</v>
      </c>
      <c r="C2" s="5"/>
      <c r="D2" s="5"/>
      <c r="E2" s="5"/>
      <c r="F2" s="5"/>
      <c r="G2" s="5"/>
      <c r="H2" s="5"/>
      <c r="I2" s="5"/>
    </row>
    <row r="3" customFormat="false" ht="15" hidden="false" customHeight="false" outlineLevel="0" collapsed="false">
      <c r="A3" s="5"/>
      <c r="B3" s="29" t="s">
        <v>21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302</v>
      </c>
      <c r="C8" s="16"/>
      <c r="D8" s="16"/>
      <c r="E8" s="16"/>
      <c r="F8" s="16"/>
      <c r="G8" s="16"/>
      <c r="H8" s="16"/>
      <c r="I8" s="16"/>
    </row>
    <row r="9" customFormat="false" ht="15" hidden="false" customHeight="false" outlineLevel="0" collapsed="false">
      <c r="A9" s="5"/>
      <c r="B9" s="40" t="s">
        <v>303</v>
      </c>
      <c r="C9" s="38" t="n">
        <f aca="false">Cash_Flow!C$28</f>
        <v>11158433.3072407</v>
      </c>
      <c r="D9" s="38" t="n">
        <f aca="false">Cash_Flow!D$28</f>
        <v>33379217.3850293</v>
      </c>
      <c r="E9" s="38" t="n">
        <f aca="false">Cash_Flow!E$28</f>
        <v>52847032.683882</v>
      </c>
      <c r="F9" s="38" t="n">
        <f aca="false">Cash_Flow!F$28</f>
        <v>74733331.4366593</v>
      </c>
      <c r="G9" s="38" t="n">
        <f aca="false">Cash_Flow!G$28</f>
        <v>99015413.9917558</v>
      </c>
      <c r="H9" s="38" t="n">
        <f aca="false">Cash_Flow!H$28</f>
        <v>125841338.707677</v>
      </c>
      <c r="I9" s="38" t="n">
        <f aca="false">Cash_Flow!I$28</f>
        <v>155367130.144679</v>
      </c>
    </row>
    <row r="10" customFormat="false" ht="15" hidden="false" customHeight="false" outlineLevel="0" collapsed="false">
      <c r="A10" s="5"/>
      <c r="B10" s="40" t="s">
        <v>304</v>
      </c>
      <c r="C10" s="38" t="n">
        <f aca="false">Income_Statement!C$14*DSO_Days/365</f>
        <v>869753.424657534</v>
      </c>
      <c r="D10" s="38" t="n">
        <f aca="false">Income_Statement!D$14*DSO_Days/365</f>
        <v>1223691.78082192</v>
      </c>
      <c r="E10" s="38" t="n">
        <f aca="false">Income_Statement!E$14*DSO_Days/365</f>
        <v>1515093.90410959</v>
      </c>
      <c r="F10" s="38" t="n">
        <f aca="false">Income_Statement!F$14*DSO_Days/365</f>
        <v>1594538.07330822</v>
      </c>
      <c r="G10" s="38" t="n">
        <f aca="false">Income_Statement!G$14*DSO_Days/365</f>
        <v>1678182.21419387</v>
      </c>
      <c r="H10" s="38" t="n">
        <f aca="false">Income_Statement!H$14*DSO_Days/365</f>
        <v>1766250.02457106</v>
      </c>
      <c r="I10" s="38" t="n">
        <f aca="false">Income_Statement!I$14*DSO_Days/365</f>
        <v>1858977.19626388</v>
      </c>
    </row>
    <row r="11" customFormat="false" ht="15" hidden="false" customHeight="false" outlineLevel="0" collapsed="false">
      <c r="A11" s="5"/>
      <c r="B11" s="40" t="s">
        <v>305</v>
      </c>
      <c r="C11" s="38" t="n">
        <f aca="false">Operating_Costs!C$12*DIO_Days/365</f>
        <v>285879.452054794</v>
      </c>
      <c r="D11" s="38" t="n">
        <f aca="false">Operating_Costs!D$12*DIO_Days/365</f>
        <v>399581.506849315</v>
      </c>
      <c r="E11" s="38" t="n">
        <f aca="false">Operating_Costs!E$12*DIO_Days/365</f>
        <v>491485.253424658</v>
      </c>
      <c r="F11" s="38" t="n">
        <f aca="false">Operating_Costs!F$12*DIO_Days/365</f>
        <v>513847.832455479</v>
      </c>
      <c r="G11" s="38" t="n">
        <f aca="false">Operating_Costs!G$12*DIO_Days/365</f>
        <v>537227.908832204</v>
      </c>
      <c r="H11" s="38" t="n">
        <f aca="false">Operating_Costs!H$12*DIO_Days/365</f>
        <v>561671.778684069</v>
      </c>
      <c r="I11" s="38" t="n">
        <f aca="false">Operating_Costs!I$12*DIO_Days/365</f>
        <v>587227.844614194</v>
      </c>
    </row>
    <row r="12" customFormat="false" ht="15" hidden="false" customHeight="false" outlineLevel="0" collapsed="false">
      <c r="A12" s="5"/>
      <c r="B12" s="42" t="s">
        <v>306</v>
      </c>
      <c r="C12" s="43" t="n">
        <f aca="false">C9+C10+C11</f>
        <v>12314066.183953</v>
      </c>
      <c r="D12" s="43" t="n">
        <f aca="false">D9+D10+D11</f>
        <v>35002490.6727006</v>
      </c>
      <c r="E12" s="43" t="n">
        <f aca="false">E9+E10+E11</f>
        <v>54853611.8414163</v>
      </c>
      <c r="F12" s="43" t="n">
        <f aca="false">F9+F10+F11</f>
        <v>76841717.342423</v>
      </c>
      <c r="G12" s="43" t="n">
        <f aca="false">G9+G10+G11</f>
        <v>101230824.114782</v>
      </c>
      <c r="H12" s="43" t="n">
        <f aca="false">H9+H10+H11</f>
        <v>128169260.510932</v>
      </c>
      <c r="I12" s="43" t="n">
        <f aca="false">I9+I10+I11</f>
        <v>157813335.185557</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40" t="s">
        <v>251</v>
      </c>
      <c r="C14" s="38" t="n">
        <f aca="false">Capex_Depreciation!C$31</f>
        <v>115191531.428571</v>
      </c>
      <c r="D14" s="38" t="n">
        <f aca="false">Capex_Depreciation!D$31</f>
        <v>111377172.857143</v>
      </c>
      <c r="E14" s="38" t="n">
        <f aca="false">Capex_Depreciation!E$31</f>
        <v>115724425.852381</v>
      </c>
      <c r="F14" s="38" t="n">
        <f aca="false">Capex_Depreciation!F$31</f>
        <v>119626979.134022</v>
      </c>
      <c r="G14" s="38" t="n">
        <f aca="false">Capex_Depreciation!G$31</f>
        <v>123071142.524443</v>
      </c>
      <c r="H14" s="38" t="n">
        <f aca="false">Capex_Depreciation!H$31</f>
        <v>126042749.250094</v>
      </c>
      <c r="I14" s="38" t="n">
        <f aca="false">Capex_Depreciation!I$31</f>
        <v>128527136.951333</v>
      </c>
    </row>
    <row r="15" customFormat="false" ht="15" hidden="false" customHeight="false" outlineLevel="0" collapsed="false">
      <c r="A15" s="5"/>
      <c r="B15" s="45" t="s">
        <v>307</v>
      </c>
      <c r="C15" s="46" t="n">
        <f aca="false">C12+C14</f>
        <v>127505597.612524</v>
      </c>
      <c r="D15" s="46" t="n">
        <f aca="false">D12+D14</f>
        <v>146379663.529843</v>
      </c>
      <c r="E15" s="46" t="n">
        <f aca="false">E12+E14</f>
        <v>170578037.693797</v>
      </c>
      <c r="F15" s="46" t="n">
        <f aca="false">F12+F14</f>
        <v>196468696.476445</v>
      </c>
      <c r="G15" s="46" t="n">
        <f aca="false">G12+G14</f>
        <v>224301966.639224</v>
      </c>
      <c r="H15" s="46" t="n">
        <f aca="false">H12+H14</f>
        <v>254212009.761026</v>
      </c>
      <c r="I15" s="46" t="n">
        <f aca="false">I12+I14</f>
        <v>286340472.13689</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9" t="s">
        <v>308</v>
      </c>
      <c r="C17" s="16"/>
      <c r="D17" s="16"/>
      <c r="E17" s="16"/>
      <c r="F17" s="16"/>
      <c r="G17" s="16"/>
      <c r="H17" s="16"/>
      <c r="I17" s="16"/>
    </row>
    <row r="18" customFormat="false" ht="15" hidden="false" customHeight="false" outlineLevel="0" collapsed="false">
      <c r="A18" s="5"/>
      <c r="B18" s="40" t="s">
        <v>309</v>
      </c>
      <c r="C18" s="38" t="n">
        <f aca="false">Operating_Costs!C$12*DPO_Days/365</f>
        <v>500289.04109589</v>
      </c>
      <c r="D18" s="38" t="n">
        <f aca="false">Operating_Costs!D$12*DPO_Days/365</f>
        <v>699267.636986301</v>
      </c>
      <c r="E18" s="38" t="n">
        <f aca="false">Operating_Costs!E$12*DPO_Days/365</f>
        <v>860099.193493151</v>
      </c>
      <c r="F18" s="38" t="n">
        <f aca="false">Operating_Costs!F$12*DPO_Days/365</f>
        <v>899233.706797089</v>
      </c>
      <c r="G18" s="38" t="n">
        <f aca="false">Operating_Costs!G$12*DPO_Days/365</f>
        <v>940148.840456356</v>
      </c>
      <c r="H18" s="38" t="n">
        <f aca="false">Operating_Costs!H$12*DPO_Days/365</f>
        <v>982925.61269712</v>
      </c>
      <c r="I18" s="38" t="n">
        <f aca="false">Operating_Costs!I$12*DPO_Days/365</f>
        <v>1027648.72807484</v>
      </c>
    </row>
    <row r="19" customFormat="false" ht="15" hidden="false" customHeight="false" outlineLevel="0" collapsed="false">
      <c r="A19" s="5"/>
      <c r="B19" s="42" t="s">
        <v>310</v>
      </c>
      <c r="C19" s="43" t="n">
        <f aca="false">C18</f>
        <v>500289.04109589</v>
      </c>
      <c r="D19" s="43" t="n">
        <f aca="false">D18</f>
        <v>699267.636986301</v>
      </c>
      <c r="E19" s="43" t="n">
        <f aca="false">E18</f>
        <v>860099.193493151</v>
      </c>
      <c r="F19" s="43" t="n">
        <f aca="false">F18</f>
        <v>899233.706797089</v>
      </c>
      <c r="G19" s="43" t="n">
        <f aca="false">G18</f>
        <v>940148.840456356</v>
      </c>
      <c r="H19" s="43" t="n">
        <f aca="false">H18</f>
        <v>982925.61269712</v>
      </c>
      <c r="I19" s="43" t="n">
        <f aca="false">I18</f>
        <v>1027648.72807484</v>
      </c>
    </row>
    <row r="20" customFormat="false" ht="15" hidden="false" customHeight="false" outlineLevel="0" collapsed="false">
      <c r="A20" s="5"/>
      <c r="B20" s="5"/>
      <c r="C20" s="5"/>
      <c r="D20" s="5"/>
      <c r="E20" s="5"/>
      <c r="F20" s="5"/>
      <c r="G20" s="5"/>
      <c r="H20" s="5"/>
      <c r="I20" s="5"/>
    </row>
    <row r="21" customFormat="false" ht="15" hidden="false" customHeight="false" outlineLevel="0" collapsed="false">
      <c r="A21" s="5"/>
      <c r="B21" s="40" t="s">
        <v>311</v>
      </c>
      <c r="C21" s="38" t="n">
        <f aca="false">Debt_Schedule!C$14</f>
        <v>72000000</v>
      </c>
      <c r="D21" s="38" t="n">
        <f aca="false">Debt_Schedule!D$14</f>
        <v>72000000</v>
      </c>
      <c r="E21" s="38" t="n">
        <f aca="false">Debt_Schedule!E$14</f>
        <v>68307655.8860184</v>
      </c>
      <c r="F21" s="38" t="n">
        <f aca="false">Debt_Schedule!F$14</f>
        <v>64576970.1877488</v>
      </c>
      <c r="G21" s="38" t="n">
        <f aca="false">Debt_Schedule!G$14</f>
        <v>60820788.8281108</v>
      </c>
      <c r="H21" s="38" t="n">
        <f aca="false">Debt_Schedule!H$14</f>
        <v>57053138.8914522</v>
      </c>
      <c r="I21" s="38" t="n">
        <f aca="false">Debt_Schedule!I$14</f>
        <v>53289155.9486952</v>
      </c>
    </row>
    <row r="22" customFormat="false" ht="15" hidden="false" customHeight="false" outlineLevel="0" collapsed="false">
      <c r="A22" s="5"/>
      <c r="B22" s="42" t="s">
        <v>312</v>
      </c>
      <c r="C22" s="43" t="n">
        <f aca="false">C19+C21</f>
        <v>72500289.0410959</v>
      </c>
      <c r="D22" s="43" t="n">
        <f aca="false">D19+D21</f>
        <v>72699267.6369863</v>
      </c>
      <c r="E22" s="43" t="n">
        <f aca="false">E19+E21</f>
        <v>69167755.0795115</v>
      </c>
      <c r="F22" s="43" t="n">
        <f aca="false">F19+F21</f>
        <v>65476203.8945458</v>
      </c>
      <c r="G22" s="43" t="n">
        <f aca="false">G19+G21</f>
        <v>61760937.6685672</v>
      </c>
      <c r="H22" s="43" t="n">
        <f aca="false">H19+H21</f>
        <v>58036064.5041494</v>
      </c>
      <c r="I22" s="43" t="n">
        <f aca="false">I19+I21</f>
        <v>54316804.67677</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39" t="s">
        <v>313</v>
      </c>
      <c r="C24" s="16"/>
      <c r="D24" s="16"/>
      <c r="E24" s="16"/>
      <c r="F24" s="16"/>
      <c r="G24" s="16"/>
      <c r="H24" s="16"/>
      <c r="I24" s="16"/>
    </row>
    <row r="25" customFormat="false" ht="15" hidden="false" customHeight="false" outlineLevel="0" collapsed="false">
      <c r="A25" s="5"/>
      <c r="B25" s="40" t="s">
        <v>314</v>
      </c>
      <c r="C25" s="38" t="n">
        <f aca="false">Initial_Cost*(1-Debt_LTV)</f>
        <v>48000000</v>
      </c>
      <c r="D25" s="38" t="n">
        <f aca="false">IF(D6=1,Initial_Cost*(1-Debt_LTV),C25)</f>
        <v>48000000</v>
      </c>
      <c r="E25" s="38" t="n">
        <f aca="false">IF(E6=1,Initial_Cost*(1-Debt_LTV),D25)</f>
        <v>48000000</v>
      </c>
      <c r="F25" s="38" t="n">
        <f aca="false">IF(F6=1,Initial_Cost*(1-Debt_LTV),E25)</f>
        <v>48000000</v>
      </c>
      <c r="G25" s="38" t="n">
        <f aca="false">IF(G6=1,Initial_Cost*(1-Debt_LTV),F25)</f>
        <v>48000000</v>
      </c>
      <c r="H25" s="38" t="n">
        <f aca="false">IF(H6=1,Initial_Cost*(1-Debt_LTV),G25)</f>
        <v>48000000</v>
      </c>
      <c r="I25" s="38" t="n">
        <f aca="false">IF(I6=1,Initial_Cost*(1-Debt_LTV),H25)</f>
        <v>48000000</v>
      </c>
    </row>
    <row r="26" customFormat="false" ht="15" hidden="false" customHeight="false" outlineLevel="0" collapsed="false">
      <c r="A26" s="5"/>
      <c r="B26" s="40" t="s">
        <v>315</v>
      </c>
      <c r="C26" s="38" t="n">
        <f aca="false">Income_Statement!C$31</f>
        <v>7005308.57142857</v>
      </c>
      <c r="D26" s="38" t="n">
        <f aca="false">C26+Income_Statement!D$31</f>
        <v>25680395.8928571</v>
      </c>
      <c r="E26" s="38" t="n">
        <f aca="false">D26+Income_Statement!E$31</f>
        <v>53410282.6142857</v>
      </c>
      <c r="F26" s="38" t="n">
        <f aca="false">E26+Income_Statement!F$31</f>
        <v>82992492.5818996</v>
      </c>
      <c r="G26" s="38" t="n">
        <f aca="false">F26+Income_Statement!G$31</f>
        <v>114541028.970657</v>
      </c>
      <c r="H26" s="38" t="n">
        <f aca="false">G26+Income_Statement!H$31</f>
        <v>148175945.256877</v>
      </c>
      <c r="I26" s="38" t="n">
        <f aca="false">H26+Income_Statement!I$31</f>
        <v>184023667.46012</v>
      </c>
    </row>
    <row r="27" customFormat="false" ht="15" hidden="false" customHeight="false" outlineLevel="0" collapsed="false">
      <c r="A27" s="5"/>
      <c r="B27" s="42" t="s">
        <v>316</v>
      </c>
      <c r="C27" s="43" t="n">
        <f aca="false">C25+C26</f>
        <v>55005308.5714286</v>
      </c>
      <c r="D27" s="43" t="n">
        <f aca="false">D25+D26</f>
        <v>73680395.8928571</v>
      </c>
      <c r="E27" s="43" t="n">
        <f aca="false">E25+E26</f>
        <v>101410282.614286</v>
      </c>
      <c r="F27" s="43" t="n">
        <f aca="false">F25+F26</f>
        <v>130992492.5819</v>
      </c>
      <c r="G27" s="43" t="n">
        <f aca="false">G25+G26</f>
        <v>162541028.970657</v>
      </c>
      <c r="H27" s="43" t="n">
        <f aca="false">H25+H26</f>
        <v>196175945.256877</v>
      </c>
      <c r="I27" s="43" t="n">
        <f aca="false">I25+I26</f>
        <v>232023667.46012</v>
      </c>
    </row>
    <row r="28" customFormat="false" ht="15" hidden="false" customHeight="false" outlineLevel="0" collapsed="false">
      <c r="A28" s="5"/>
      <c r="B28" s="5"/>
      <c r="C28" s="5"/>
      <c r="D28" s="5"/>
      <c r="E28" s="5"/>
      <c r="F28" s="5"/>
      <c r="G28" s="5"/>
      <c r="H28" s="5"/>
      <c r="I28" s="5"/>
    </row>
    <row r="29" customFormat="false" ht="15" hidden="false" customHeight="false" outlineLevel="0" collapsed="false">
      <c r="A29" s="5"/>
      <c r="B29" s="45" t="s">
        <v>317</v>
      </c>
      <c r="C29" s="46" t="n">
        <f aca="false">C22+C27</f>
        <v>127505597.612524</v>
      </c>
      <c r="D29" s="46" t="n">
        <f aca="false">D22+D27</f>
        <v>146379663.529843</v>
      </c>
      <c r="E29" s="46" t="n">
        <f aca="false">E22+E27</f>
        <v>170578037.693797</v>
      </c>
      <c r="F29" s="46" t="n">
        <f aca="false">F22+F27</f>
        <v>196468696.476445</v>
      </c>
      <c r="G29" s="46" t="n">
        <f aca="false">G22+G27</f>
        <v>224301966.639224</v>
      </c>
      <c r="H29" s="46" t="n">
        <f aca="false">H22+H27</f>
        <v>254212009.761026</v>
      </c>
      <c r="I29" s="46" t="n">
        <f aca="false">I22+I27</f>
        <v>286340472.13689</v>
      </c>
    </row>
    <row r="30" customFormat="false" ht="15" hidden="false" customHeight="false" outlineLevel="0" collapsed="false">
      <c r="A30" s="5"/>
      <c r="B30" s="49" t="s">
        <v>318</v>
      </c>
      <c r="C30" s="50" t="n">
        <f aca="false">ROUND(C15-C29,0)</f>
        <v>0</v>
      </c>
      <c r="D30" s="50" t="n">
        <f aca="false">ROUND(D15-D29,0)</f>
        <v>0</v>
      </c>
      <c r="E30" s="50" t="n">
        <f aca="false">ROUND(E15-E29,0)</f>
        <v>0</v>
      </c>
      <c r="F30" s="50" t="n">
        <f aca="false">ROUND(F15-F29,0)</f>
        <v>0</v>
      </c>
      <c r="G30" s="50" t="n">
        <f aca="false">ROUND(G15-G29,0)</f>
        <v>0</v>
      </c>
      <c r="H30" s="50" t="n">
        <f aca="false">ROUND(H15-H29,0)</f>
        <v>0</v>
      </c>
      <c r="I30" s="50" t="n">
        <f aca="false">ROUND(I15-I29,0)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319</v>
      </c>
      <c r="C2" s="5"/>
      <c r="D2" s="5"/>
      <c r="E2" s="5"/>
      <c r="F2" s="5"/>
      <c r="G2" s="5"/>
      <c r="H2" s="5"/>
      <c r="I2" s="5"/>
    </row>
    <row r="3" customFormat="false" ht="15" hidden="false" customHeight="false" outlineLevel="0" collapsed="false">
      <c r="A3" s="5"/>
      <c r="B3" s="29" t="s">
        <v>320</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321</v>
      </c>
      <c r="C8" s="16"/>
      <c r="D8" s="16"/>
      <c r="E8" s="16"/>
      <c r="F8" s="16"/>
      <c r="G8" s="16"/>
      <c r="H8" s="16"/>
      <c r="I8" s="16"/>
    </row>
    <row r="9" customFormat="false" ht="15" hidden="false" customHeight="false" outlineLevel="0" collapsed="false">
      <c r="A9" s="5"/>
      <c r="B9" s="40" t="s">
        <v>235</v>
      </c>
      <c r="C9" s="38" t="n">
        <f aca="false">Operating_Costs!C$35</f>
        <v>22003480</v>
      </c>
      <c r="D9" s="38" t="n">
        <f aca="false">Operating_Costs!D$35</f>
        <v>37860950</v>
      </c>
      <c r="E9" s="38" t="n">
        <f aca="false">Operating_Costs!E$35</f>
        <v>50836022.05</v>
      </c>
      <c r="F9" s="38" t="n">
        <f aca="false">Operating_Costs!F$35</f>
        <v>54000454.94201</v>
      </c>
      <c r="G9" s="38" t="n">
        <f aca="false">Operating_Costs!G$35</f>
        <v>57348419.9386013</v>
      </c>
      <c r="H9" s="38" t="n">
        <f aca="false">Operating_Costs!H$35</f>
        <v>60890237.186153</v>
      </c>
      <c r="I9" s="38" t="n">
        <f aca="false">Operating_Costs!I$35</f>
        <v>64636799.155726</v>
      </c>
    </row>
    <row r="10" customFormat="false" ht="15" hidden="false" customHeight="false" outlineLevel="0" collapsed="false">
      <c r="A10" s="5"/>
      <c r="B10" s="40" t="s">
        <v>322</v>
      </c>
      <c r="C10" s="38" t="n">
        <f aca="false">MAX(0,(Operating_Costs!$C$35:$I$35-Capex_Depreciation!$C$26:$I$26)*Tax_Rate)</f>
        <v>3505102.85714286</v>
      </c>
      <c r="D10" s="38" t="n">
        <f aca="false">MAX(0,(Operating_Costs!$C$35:$I$35-Capex_Depreciation!$C$26:$I$26)*Tax_Rate)</f>
        <v>7395029.10714285</v>
      </c>
      <c r="E10" s="38" t="n">
        <f aca="false">MAX(0,(Operating_Costs!$C$35:$I$35-Capex_Depreciation!$C$26:$I$26)*Tax_Rate)</f>
        <v>10413295.5738095</v>
      </c>
      <c r="F10" s="38" t="n">
        <f aca="false">MAX(0,(Operating_Costs!$C$35:$I$35-Capex_Depreciation!$C$26:$I$26)*Tax_Rate)</f>
        <v>10970736.0640191</v>
      </c>
      <c r="G10" s="38" t="n">
        <f aca="false">MAX(0,(Operating_Costs!$C$35:$I$35-Capex_Depreciation!$C$26:$I$26)*Tax_Rate)</f>
        <v>11565554.5618035</v>
      </c>
      <c r="H10" s="38" t="n">
        <f aca="false">MAX(0,(Operating_Costs!$C$35:$I$35-Capex_Depreciation!$C$26:$I$26)*Tax_Rate)</f>
        <v>12199976.58053</v>
      </c>
      <c r="I10" s="38" t="n">
        <f aca="false">MAX(0,(Operating_Costs!$C$35:$I$35-Capex_Depreciation!$C$26:$I$26)*Tax_Rate)</f>
        <v>12876354.2414005</v>
      </c>
    </row>
    <row r="11" customFormat="false" ht="15" hidden="false" customHeight="false" outlineLevel="0" collapsed="false">
      <c r="A11" s="5"/>
      <c r="B11" s="40" t="s">
        <v>287</v>
      </c>
      <c r="C11" s="38" t="n">
        <f aca="false">Capex_Depreciation!C$26</f>
        <v>7983068.57142857</v>
      </c>
      <c r="D11" s="38" t="n">
        <f aca="false">Capex_Depreciation!D$26</f>
        <v>8280833.57142857</v>
      </c>
      <c r="E11" s="38" t="n">
        <f aca="false">Capex_Depreciation!E$26</f>
        <v>9182839.7547619</v>
      </c>
      <c r="F11" s="38" t="n">
        <f aca="false">Capex_Depreciation!F$26</f>
        <v>10117510.6859336</v>
      </c>
      <c r="G11" s="38" t="n">
        <f aca="false">Capex_Depreciation!G$26</f>
        <v>11086201.6913874</v>
      </c>
      <c r="H11" s="38" t="n">
        <f aca="false">Capex_Depreciation!H$26</f>
        <v>12090330.864033</v>
      </c>
      <c r="I11" s="38" t="n">
        <f aca="false">Capex_Depreciation!I$26</f>
        <v>13131382.1901239</v>
      </c>
    </row>
    <row r="12" customFormat="false" ht="15" hidden="false" customHeight="false" outlineLevel="0" collapsed="false">
      <c r="A12" s="5"/>
      <c r="B12" s="40" t="s">
        <v>323</v>
      </c>
      <c r="C12" s="38" t="n">
        <f aca="false">-Capex_Depreciation!C$17</f>
        <v>-3174600</v>
      </c>
      <c r="D12" s="38" t="n">
        <f aca="false">-Capex_Depreciation!D$17</f>
        <v>-4466475</v>
      </c>
      <c r="E12" s="38" t="n">
        <f aca="false">-Capex_Depreciation!E$17</f>
        <v>-13530092.75</v>
      </c>
      <c r="F12" s="38" t="n">
        <f aca="false">-Capex_Depreciation!F$17</f>
        <v>-14020063.967575</v>
      </c>
      <c r="G12" s="38" t="n">
        <f aca="false">-Capex_Depreciation!G$17</f>
        <v>-14530365.0818076</v>
      </c>
      <c r="H12" s="38" t="n">
        <f aca="false">-Capex_Depreciation!H$17</f>
        <v>-15061937.5896844</v>
      </c>
      <c r="I12" s="38" t="n">
        <f aca="false">-Capex_Depreciation!I$17</f>
        <v>-15615769.8913632</v>
      </c>
    </row>
    <row r="13" customFormat="false" ht="15" hidden="false" customHeight="false" outlineLevel="0" collapsed="false">
      <c r="A13" s="5"/>
      <c r="B13" s="40" t="s">
        <v>324</v>
      </c>
      <c r="C13" s="38" t="n">
        <f aca="false">Cash_Flow!C$11+Cash_Flow!C$12+Cash_Flow!C$13</f>
        <v>-655343.835616438</v>
      </c>
      <c r="D13" s="38" t="n">
        <f aca="false">Cash_Flow!D$11+Cash_Flow!D$12+Cash_Flow!D$13</f>
        <v>-268661.815068493</v>
      </c>
      <c r="E13" s="38" t="n">
        <f aca="false">Cash_Flow!E$11+Cash_Flow!E$12+Cash_Flow!E$13</f>
        <v>-222474.313356164</v>
      </c>
      <c r="F13" s="38" t="n">
        <f aca="false">Cash_Flow!F$11+Cash_Flow!F$12+Cash_Flow!F$13</f>
        <v>-62672.2349255135</v>
      </c>
      <c r="G13" s="38" t="n">
        <f aca="false">Cash_Flow!G$11+Cash_Flow!G$12+Cash_Flow!G$13</f>
        <v>-66109.0836031078</v>
      </c>
      <c r="H13" s="38" t="n">
        <f aca="false">Cash_Flow!H$11+Cash_Flow!H$12+Cash_Flow!H$13</f>
        <v>-69734.9079882923</v>
      </c>
      <c r="I13" s="38" t="n">
        <f aca="false">Cash_Flow!I$11+Cash_Flow!I$12+Cash_Flow!I$13</f>
        <v>-73560.1222452255</v>
      </c>
    </row>
    <row r="14" customFormat="false" ht="15" hidden="false" customHeight="false" outlineLevel="0" collapsed="false">
      <c r="A14" s="5"/>
      <c r="B14" s="42" t="s">
        <v>325</v>
      </c>
      <c r="C14" s="43" t="n">
        <f aca="false">C9-C10+C12+C13</f>
        <v>14668433.3072407</v>
      </c>
      <c r="D14" s="43" t="n">
        <f aca="false">D9-D10+D12+D13</f>
        <v>25730784.0777886</v>
      </c>
      <c r="E14" s="43" t="n">
        <f aca="false">E9-E10+E12+E13</f>
        <v>26670159.4128343</v>
      </c>
      <c r="F14" s="43" t="n">
        <f aca="false">F9-F10+F12+F13</f>
        <v>28946982.6754904</v>
      </c>
      <c r="G14" s="43" t="n">
        <f aca="false">G9-G10+G12+G13</f>
        <v>31186391.2113871</v>
      </c>
      <c r="H14" s="43" t="n">
        <f aca="false">H9-H10+H12+H13</f>
        <v>33558588.1079503</v>
      </c>
      <c r="I14" s="43" t="n">
        <f aca="false">I9-I10+I12+I13</f>
        <v>36071114.9007171</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9" t="s">
        <v>326</v>
      </c>
      <c r="C16" s="16"/>
      <c r="D16" s="16"/>
      <c r="E16" s="16"/>
      <c r="F16" s="16"/>
      <c r="G16" s="16"/>
      <c r="H16" s="16"/>
      <c r="I16" s="16"/>
    </row>
    <row r="17" customFormat="false" ht="15" hidden="false" customHeight="false" outlineLevel="0" collapsed="false">
      <c r="A17" s="5"/>
      <c r="B17" s="40" t="s">
        <v>285</v>
      </c>
      <c r="C17" s="38" t="n">
        <f aca="false">Cash_Flow!C$14</f>
        <v>14333033.3072407</v>
      </c>
      <c r="D17" s="38" t="n">
        <f aca="false">Cash_Flow!D$14</f>
        <v>26687259.0777886</v>
      </c>
      <c r="E17" s="38" t="n">
        <f aca="false">Cash_Flow!E$14</f>
        <v>36690252.1628343</v>
      </c>
      <c r="F17" s="38" t="n">
        <f aca="false">Cash_Flow!F$14</f>
        <v>39637048.418622</v>
      </c>
      <c r="G17" s="38" t="n">
        <f aca="false">Cash_Flow!G$14</f>
        <v>42568628.996542</v>
      </c>
      <c r="H17" s="38" t="n">
        <f aca="false">Cash_Flow!H$14</f>
        <v>45655512.2422643</v>
      </c>
      <c r="I17" s="38" t="n">
        <f aca="false">Cash_Flow!I$14</f>
        <v>48905544.2711219</v>
      </c>
    </row>
    <row r="18" customFormat="false" ht="15" hidden="false" customHeight="false" outlineLevel="0" collapsed="false">
      <c r="A18" s="5"/>
      <c r="B18" s="40" t="s">
        <v>323</v>
      </c>
      <c r="C18" s="38" t="n">
        <f aca="false">-Capex_Depreciation!C$17</f>
        <v>-3174600</v>
      </c>
      <c r="D18" s="38" t="n">
        <f aca="false">-Capex_Depreciation!D$17</f>
        <v>-4466475</v>
      </c>
      <c r="E18" s="38" t="n">
        <f aca="false">-Capex_Depreciation!E$17</f>
        <v>-13530092.75</v>
      </c>
      <c r="F18" s="38" t="n">
        <f aca="false">-Capex_Depreciation!F$17</f>
        <v>-14020063.967575</v>
      </c>
      <c r="G18" s="38" t="n">
        <f aca="false">-Capex_Depreciation!G$17</f>
        <v>-14530365.0818076</v>
      </c>
      <c r="H18" s="38" t="n">
        <f aca="false">-Capex_Depreciation!H$17</f>
        <v>-15061937.5896844</v>
      </c>
      <c r="I18" s="38" t="n">
        <f aca="false">-Capex_Depreciation!I$17</f>
        <v>-15615769.8913632</v>
      </c>
    </row>
    <row r="19" customFormat="false" ht="15" hidden="false" customHeight="false" outlineLevel="0" collapsed="false">
      <c r="A19" s="5"/>
      <c r="B19" s="42" t="s">
        <v>327</v>
      </c>
      <c r="C19" s="43" t="n">
        <f aca="false">C17+C18</f>
        <v>11158433.3072407</v>
      </c>
      <c r="D19" s="43" t="n">
        <f aca="false">D17+D18</f>
        <v>22220784.0777886</v>
      </c>
      <c r="E19" s="43" t="n">
        <f aca="false">E17+E18</f>
        <v>23160159.4128343</v>
      </c>
      <c r="F19" s="43" t="n">
        <f aca="false">F17+F18</f>
        <v>25616984.451047</v>
      </c>
      <c r="G19" s="43" t="n">
        <f aca="false">G17+G18</f>
        <v>28038263.9147344</v>
      </c>
      <c r="H19" s="43" t="n">
        <f aca="false">H17+H18</f>
        <v>30593574.6525799</v>
      </c>
      <c r="I19" s="43" t="n">
        <f aca="false">I17+I18</f>
        <v>33289774.3797588</v>
      </c>
    </row>
    <row r="20" customFormat="false" ht="15" hidden="false" customHeight="false" outlineLevel="0" collapsed="false">
      <c r="A20" s="5"/>
      <c r="B20" s="5"/>
      <c r="C20" s="5"/>
      <c r="D20" s="5"/>
      <c r="E20" s="5"/>
      <c r="F20" s="5"/>
      <c r="G20" s="5"/>
      <c r="H20" s="5"/>
      <c r="I20" s="5"/>
    </row>
    <row r="21" customFormat="false" ht="15" hidden="false" customHeight="false" outlineLevel="0" collapsed="false">
      <c r="A21" s="5"/>
      <c r="B21" s="39" t="s">
        <v>328</v>
      </c>
      <c r="C21" s="16"/>
      <c r="D21" s="16"/>
      <c r="E21" s="16"/>
      <c r="F21" s="16"/>
      <c r="G21" s="16"/>
      <c r="H21" s="16"/>
      <c r="I21" s="16"/>
    </row>
    <row r="22" customFormat="false" ht="15" hidden="false" customHeight="false" outlineLevel="0" collapsed="false">
      <c r="A22" s="5"/>
      <c r="B22" s="40" t="s">
        <v>329</v>
      </c>
      <c r="C22" s="38" t="n">
        <f aca="false">IF(C6=Projection_Period,Operating_Costs!C$35,0)</f>
        <v>0</v>
      </c>
      <c r="D22" s="38" t="n">
        <f aca="false">IF(D6=Projection_Period,Operating_Costs!D$35,0)</f>
        <v>0</v>
      </c>
      <c r="E22" s="38" t="n">
        <f aca="false">IF(E6=Projection_Period,Operating_Costs!E$35,0)</f>
        <v>0</v>
      </c>
      <c r="F22" s="38" t="n">
        <f aca="false">IF(F6=Projection_Period,Operating_Costs!F$35,0)</f>
        <v>0</v>
      </c>
      <c r="G22" s="38" t="n">
        <f aca="false">IF(G6=Projection_Period,Operating_Costs!G$35,0)</f>
        <v>0</v>
      </c>
      <c r="H22" s="38" t="n">
        <f aca="false">IF(H6=Projection_Period,Operating_Costs!H$35,0)</f>
        <v>0</v>
      </c>
      <c r="I22" s="38" t="n">
        <f aca="false">IF(I6=Projection_Period,Operating_Costs!I$35,0)</f>
        <v>64636799.155726</v>
      </c>
    </row>
    <row r="23" customFormat="false" ht="15" hidden="false" customHeight="false" outlineLevel="0" collapsed="false">
      <c r="A23" s="5"/>
      <c r="B23" s="40" t="s">
        <v>330</v>
      </c>
      <c r="C23" s="38" t="n">
        <f aca="false">C22*Exit_Multiple</f>
        <v>0</v>
      </c>
      <c r="D23" s="38" t="n">
        <f aca="false">D22*Exit_Multiple</f>
        <v>0</v>
      </c>
      <c r="E23" s="38" t="n">
        <f aca="false">E22*Exit_Multiple</f>
        <v>0</v>
      </c>
      <c r="F23" s="38" t="n">
        <f aca="false">F22*Exit_Multiple</f>
        <v>0</v>
      </c>
      <c r="G23" s="38" t="n">
        <f aca="false">G22*Exit_Multiple</f>
        <v>0</v>
      </c>
      <c r="H23" s="38" t="n">
        <f aca="false">H22*Exit_Multiple</f>
        <v>0</v>
      </c>
      <c r="I23" s="38" t="n">
        <f aca="false">I22*Exit_Multiple</f>
        <v>517094393.245808</v>
      </c>
    </row>
    <row r="24" customFormat="false" ht="15" hidden="false" customHeight="false" outlineLevel="0" collapsed="false">
      <c r="A24" s="5"/>
      <c r="B24" s="40" t="s">
        <v>331</v>
      </c>
      <c r="C24" s="38" t="n">
        <f aca="false">IF(C6=Projection_Period,-Debt_Schedule!C$14,0)</f>
        <v>0</v>
      </c>
      <c r="D24" s="38" t="n">
        <f aca="false">IF(D6=Projection_Period,-Debt_Schedule!D$14,0)</f>
        <v>0</v>
      </c>
      <c r="E24" s="38" t="n">
        <f aca="false">IF(E6=Projection_Period,-Debt_Schedule!E$14,0)</f>
        <v>0</v>
      </c>
      <c r="F24" s="38" t="n">
        <f aca="false">IF(F6=Projection_Period,-Debt_Schedule!F$14,0)</f>
        <v>0</v>
      </c>
      <c r="G24" s="38" t="n">
        <f aca="false">IF(G6=Projection_Period,-Debt_Schedule!G$14,0)</f>
        <v>0</v>
      </c>
      <c r="H24" s="38" t="n">
        <f aca="false">IF(H6=Projection_Period,-Debt_Schedule!H$14,0)</f>
        <v>0</v>
      </c>
      <c r="I24" s="38" t="n">
        <f aca="false">IF(I6=Projection_Period,-Debt_Schedule!I$14,0)</f>
        <v>-53289155.9486952</v>
      </c>
    </row>
    <row r="25" customFormat="false" ht="15" hidden="false" customHeight="false" outlineLevel="0" collapsed="false">
      <c r="A25" s="5"/>
      <c r="B25" s="47" t="s">
        <v>332</v>
      </c>
      <c r="C25" s="43" t="n">
        <f aca="false">C23+C24</f>
        <v>0</v>
      </c>
      <c r="D25" s="43" t="n">
        <f aca="false">D23+D24</f>
        <v>0</v>
      </c>
      <c r="E25" s="43" t="n">
        <f aca="false">E23+E24</f>
        <v>0</v>
      </c>
      <c r="F25" s="43" t="n">
        <f aca="false">F23+F24</f>
        <v>0</v>
      </c>
      <c r="G25" s="43" t="n">
        <f aca="false">G23+G24</f>
        <v>0</v>
      </c>
      <c r="H25" s="43" t="n">
        <f aca="false">H23+H24</f>
        <v>0</v>
      </c>
      <c r="I25" s="43" t="n">
        <f aca="false">I23+I24</f>
        <v>463805237.297113</v>
      </c>
    </row>
    <row r="26" customFormat="false" ht="15" hidden="false" customHeight="false" outlineLevel="0" collapsed="false">
      <c r="A26" s="5"/>
      <c r="B26" s="5"/>
      <c r="C26" s="5"/>
      <c r="D26" s="5"/>
      <c r="E26" s="5"/>
      <c r="F26" s="5"/>
      <c r="G26" s="5"/>
      <c r="H26" s="5"/>
      <c r="I26" s="5"/>
    </row>
    <row r="27" customFormat="false" ht="15" hidden="false" customHeight="false" outlineLevel="0" collapsed="false">
      <c r="A27" s="5"/>
      <c r="B27" s="39" t="s">
        <v>333</v>
      </c>
      <c r="C27" s="16"/>
      <c r="D27" s="16"/>
      <c r="E27" s="16"/>
      <c r="F27" s="16"/>
      <c r="G27" s="16"/>
      <c r="H27" s="16"/>
      <c r="I27" s="16"/>
    </row>
    <row r="28" customFormat="false" ht="15" hidden="false" customHeight="false" outlineLevel="0" collapsed="false">
      <c r="A28" s="5"/>
      <c r="B28" s="7" t="s">
        <v>334</v>
      </c>
      <c r="C28" s="38" t="n">
        <f aca="false">IF(C6=Projection_Period,C14+C23,C14)</f>
        <v>14668433.3072407</v>
      </c>
      <c r="D28" s="38" t="n">
        <f aca="false">IF(D6=Projection_Period,D14+D23,D14)</f>
        <v>25730784.0777886</v>
      </c>
      <c r="E28" s="38" t="n">
        <f aca="false">IF(E6=Projection_Period,E14+E23,E14)</f>
        <v>26670159.4128343</v>
      </c>
      <c r="F28" s="38" t="n">
        <f aca="false">IF(F6=Projection_Period,F14+F23,F14)</f>
        <v>28946982.6754904</v>
      </c>
      <c r="G28" s="38" t="n">
        <f aca="false">IF(G6=Projection_Period,G14+G23,G14)</f>
        <v>31186391.2113871</v>
      </c>
      <c r="H28" s="38" t="n">
        <f aca="false">IF(H6=Projection_Period,H14+H23,H14)</f>
        <v>33558588.1079503</v>
      </c>
      <c r="I28" s="38" t="n">
        <f aca="false">IF(I6=Projection_Period,I14+I23,I14)</f>
        <v>553165508.146525</v>
      </c>
    </row>
    <row r="29" customFormat="false" ht="15" hidden="false" customHeight="false" outlineLevel="0" collapsed="false">
      <c r="A29" s="5"/>
      <c r="B29" s="7" t="s">
        <v>335</v>
      </c>
      <c r="C29" s="38" t="n">
        <f aca="false">IF(C6=Projection_Period,C19+C25,C19)</f>
        <v>11158433.3072407</v>
      </c>
      <c r="D29" s="38" t="n">
        <f aca="false">IF(D6=Projection_Period,D19+D25,D19)</f>
        <v>22220784.0777886</v>
      </c>
      <c r="E29" s="38" t="n">
        <f aca="false">IF(E6=Projection_Period,E19+E25,E19)</f>
        <v>23160159.4128343</v>
      </c>
      <c r="F29" s="38" t="n">
        <f aca="false">IF(F6=Projection_Period,F19+F25,F19)</f>
        <v>25616984.451047</v>
      </c>
      <c r="G29" s="38" t="n">
        <f aca="false">IF(G6=Projection_Period,G19+G25,G19)</f>
        <v>28038263.9147344</v>
      </c>
      <c r="H29" s="38" t="n">
        <f aca="false">IF(H6=Projection_Period,H19+H25,H19)</f>
        <v>30593574.6525799</v>
      </c>
      <c r="I29" s="38" t="n">
        <f aca="false">IF(I6=Projection_Period,I19+I25,I19)</f>
        <v>497095011.676872</v>
      </c>
    </row>
    <row r="30" customFormat="false" ht="15" hidden="false" customHeight="false" outlineLevel="0" collapsed="false">
      <c r="A30" s="5"/>
      <c r="B30" s="5"/>
      <c r="C30" s="5"/>
      <c r="D30" s="5"/>
      <c r="E30" s="5"/>
      <c r="F30" s="5"/>
      <c r="G30" s="5"/>
      <c r="H30" s="5"/>
      <c r="I30" s="5"/>
    </row>
    <row r="31" customFormat="false" ht="15" hidden="false" customHeight="false" outlineLevel="0" collapsed="false">
      <c r="A31" s="5"/>
      <c r="B31" s="39" t="s">
        <v>336</v>
      </c>
      <c r="C31" s="16"/>
      <c r="D31" s="16"/>
      <c r="E31" s="16"/>
      <c r="F31" s="16"/>
      <c r="G31" s="16"/>
      <c r="H31" s="16"/>
      <c r="I31" s="16"/>
    </row>
    <row r="32" customFormat="false" ht="15" hidden="false" customHeight="false" outlineLevel="0" collapsed="false">
      <c r="A32" s="5"/>
      <c r="B32" s="51" t="s">
        <v>337</v>
      </c>
      <c r="C32" s="52" t="n">
        <f aca="false">IFERROR(IRR(B41:I41),0)</f>
        <v>0.360107159263387</v>
      </c>
      <c r="D32" s="5"/>
      <c r="E32" s="5"/>
      <c r="F32" s="5"/>
      <c r="G32" s="5"/>
      <c r="H32" s="5"/>
      <c r="I32" s="5"/>
    </row>
    <row r="33" customFormat="false" ht="15" hidden="false" customHeight="false" outlineLevel="0" collapsed="false">
      <c r="A33" s="5"/>
      <c r="B33" s="51" t="s">
        <v>338</v>
      </c>
      <c r="C33" s="52" t="n">
        <f aca="false">IFERROR(IRR(B42:I42),0)</f>
        <v>0.601773534791231</v>
      </c>
      <c r="D33" s="5"/>
      <c r="E33" s="5"/>
      <c r="F33" s="5"/>
      <c r="G33" s="5"/>
      <c r="H33" s="5"/>
      <c r="I33" s="5"/>
    </row>
    <row r="34" customFormat="false" ht="15" hidden="false" customHeight="false" outlineLevel="0" collapsed="false">
      <c r="A34" s="5"/>
      <c r="B34" s="51" t="s">
        <v>339</v>
      </c>
      <c r="C34" s="53" t="n">
        <f aca="false">IFERROR(I25/(Initial_Cost*(1-Debt_LTV)),0)</f>
        <v>9.66260911035652</v>
      </c>
      <c r="D34" s="5"/>
      <c r="E34" s="5"/>
      <c r="F34" s="5"/>
      <c r="G34" s="5"/>
      <c r="H34" s="5"/>
      <c r="I34" s="5"/>
    </row>
    <row r="35" customFormat="false" ht="15" hidden="false" customHeight="false" outlineLevel="0" collapsed="false">
      <c r="A35" s="5"/>
      <c r="B35" s="51" t="s">
        <v>340</v>
      </c>
      <c r="C35" s="54" t="n">
        <f aca="false">IFERROR(B41+NPV(Discount_Rate,C41:I41),0)</f>
        <v>276577528.986524</v>
      </c>
      <c r="D35" s="5"/>
      <c r="E35" s="5"/>
      <c r="F35" s="5"/>
      <c r="G35" s="5"/>
      <c r="H35" s="5"/>
      <c r="I35" s="5"/>
    </row>
    <row r="36" customFormat="false" ht="15" hidden="false" customHeight="false" outlineLevel="0" collapsed="false">
      <c r="A36" s="5"/>
      <c r="B36" s="5"/>
      <c r="C36" s="5"/>
      <c r="D36" s="5"/>
      <c r="E36" s="5"/>
      <c r="F36" s="5"/>
      <c r="G36" s="5"/>
      <c r="H36" s="5"/>
      <c r="I36" s="5"/>
    </row>
    <row r="37" customFormat="false" ht="15" hidden="false" customHeight="false" outlineLevel="0" collapsed="false">
      <c r="A37" s="5"/>
      <c r="B37" s="39" t="s">
        <v>341</v>
      </c>
      <c r="C37" s="16"/>
      <c r="D37" s="16"/>
      <c r="E37" s="16"/>
      <c r="F37" s="16"/>
      <c r="G37" s="16"/>
      <c r="H37" s="16"/>
      <c r="I37" s="16"/>
    </row>
    <row r="38" customFormat="false" ht="15" hidden="false" customHeight="false" outlineLevel="0" collapsed="false">
      <c r="A38" s="5"/>
      <c r="B38" s="51" t="s">
        <v>342</v>
      </c>
      <c r="C38" s="55" t="str">
        <f aca="false">IF(C33&gt;=Target_IRR,"PASS","FAIL")</f>
        <v>PASS</v>
      </c>
      <c r="D38" s="5"/>
      <c r="E38" s="5"/>
      <c r="F38" s="5"/>
      <c r="G38" s="5"/>
      <c r="H38" s="5"/>
      <c r="I38" s="5"/>
    </row>
    <row r="39" customFormat="false" ht="15" hidden="false" customHeight="false" outlineLevel="0" collapsed="false">
      <c r="A39" s="5"/>
      <c r="B39" s="51" t="s">
        <v>343</v>
      </c>
      <c r="C39" s="55" t="str">
        <f aca="false">IF(C34&gt;=Target_Equity_Mult,"PASS","FAIL")</f>
        <v>PASS</v>
      </c>
      <c r="D39" s="5"/>
      <c r="E39" s="5"/>
      <c r="F39" s="5"/>
      <c r="G39" s="5"/>
      <c r="H39" s="5"/>
      <c r="I39" s="5"/>
    </row>
    <row r="40" customFormat="false" ht="15" hidden="false" customHeight="false" outlineLevel="0" collapsed="false">
      <c r="A40" s="5"/>
      <c r="B40" s="5"/>
      <c r="C40" s="5"/>
      <c r="D40" s="5"/>
      <c r="E40" s="5"/>
      <c r="F40" s="5"/>
      <c r="G40" s="5"/>
      <c r="H40" s="5"/>
      <c r="I40" s="5"/>
    </row>
    <row r="41" customFormat="false" ht="15" hidden="true" customHeight="false" outlineLevel="0" collapsed="false">
      <c r="A41" s="5"/>
      <c r="B41" s="56" t="n">
        <f aca="false">-Initial_Cost</f>
        <v>-120000000</v>
      </c>
      <c r="C41" s="38" t="n">
        <f aca="false">C28</f>
        <v>14668433.3072407</v>
      </c>
      <c r="D41" s="38" t="n">
        <f aca="false">D28</f>
        <v>25730784.0777886</v>
      </c>
      <c r="E41" s="38" t="n">
        <f aca="false">E28</f>
        <v>26670159.4128343</v>
      </c>
      <c r="F41" s="38" t="n">
        <f aca="false">F28</f>
        <v>28946982.6754904</v>
      </c>
      <c r="G41" s="38" t="n">
        <f aca="false">G28</f>
        <v>31186391.2113871</v>
      </c>
      <c r="H41" s="38" t="n">
        <f aca="false">H28</f>
        <v>33558588.1079503</v>
      </c>
      <c r="I41" s="38" t="n">
        <f aca="false">I28</f>
        <v>553165508.146525</v>
      </c>
    </row>
    <row r="42" customFormat="false" ht="15" hidden="true" customHeight="false" outlineLevel="0" collapsed="false">
      <c r="A42" s="5"/>
      <c r="B42" s="56" t="n">
        <f aca="false">-(Initial_Cost*(1-Debt_LTV))</f>
        <v>-48000000</v>
      </c>
      <c r="C42" s="38" t="n">
        <f aca="false">C29</f>
        <v>11158433.3072407</v>
      </c>
      <c r="D42" s="38" t="n">
        <f aca="false">D29</f>
        <v>22220784.0777886</v>
      </c>
      <c r="E42" s="38" t="n">
        <f aca="false">E29</f>
        <v>23160159.4128343</v>
      </c>
      <c r="F42" s="38" t="n">
        <f aca="false">F29</f>
        <v>25616984.451047</v>
      </c>
      <c r="G42" s="38" t="n">
        <f aca="false">G29</f>
        <v>28038263.9147344</v>
      </c>
      <c r="H42" s="38" t="n">
        <f aca="false">H29</f>
        <v>30593574.6525799</v>
      </c>
      <c r="I42" s="38" t="n">
        <f aca="false">I29</f>
        <v>497095011.676872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344</v>
      </c>
      <c r="C2" s="5"/>
      <c r="D2" s="5"/>
      <c r="E2" s="5"/>
      <c r="F2" s="5"/>
      <c r="G2" s="5"/>
      <c r="H2" s="5"/>
      <c r="I2" s="5"/>
    </row>
    <row r="3" customFormat="false" ht="15" hidden="false" customHeight="false" outlineLevel="0" collapsed="false">
      <c r="A3" s="5"/>
      <c r="B3" s="29" t="s">
        <v>345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346</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7" t="s">
        <v>347</v>
      </c>
      <c r="C7" s="57" t="str">
        <f aca="false">IF(ROUND(Balance_Sheet!C$15-Balance_Sheet!C$29,0)=0,"PASS","FAIL")</f>
        <v>PASS</v>
      </c>
      <c r="D7" s="57" t="str">
        <f aca="false">IF(ROUND(Balance_Sheet!D$15-Balance_Sheet!D$29,0)=0,"PASS","FAIL")</f>
        <v>PASS</v>
      </c>
      <c r="E7" s="57" t="str">
        <f aca="false">IF(ROUND(Balance_Sheet!E$15-Balance_Sheet!E$29,0)=0,"PASS","FAIL")</f>
        <v>PASS</v>
      </c>
      <c r="F7" s="57" t="str">
        <f aca="false">IF(ROUND(Balance_Sheet!F$15-Balance_Sheet!F$29,0)=0,"PASS","FAIL")</f>
        <v>PASS</v>
      </c>
      <c r="G7" s="57" t="str">
        <f aca="false">IF(ROUND(Balance_Sheet!G$15-Balance_Sheet!G$29,0)=0,"PASS","FAIL")</f>
        <v>PASS</v>
      </c>
      <c r="H7" s="57" t="str">
        <f aca="false">IF(ROUND(Balance_Sheet!H$15-Balance_Sheet!H$29,0)=0,"PASS","FAIL")</f>
        <v>PASS</v>
      </c>
      <c r="I7" s="57" t="str">
        <f aca="false">IF(ROUND(Balance_Sheet!I$15-Balance_Sheet!I$29,0)=0,"PASS","FAIL")</f>
        <v>PASS</v>
      </c>
    </row>
    <row r="8" customFormat="false" ht="15" hidden="false" customHeight="false" outlineLevel="0" collapsed="false">
      <c r="A8" s="5"/>
      <c r="B8" s="7" t="s">
        <v>236</v>
      </c>
      <c r="C8" s="57" t="str">
        <f aca="false">IF(IFERROR(Operating_Costs!C$35/Attendance_Revenue!C$30,0)&gt;0.45,"HIGH",IF(IFERROR(Operating_Costs!C$35/Attendance_Revenue!C$30,0)&lt;0.15,"LOW","PASS"))</f>
        <v>PASS</v>
      </c>
      <c r="D8" s="57" t="str">
        <f aca="false">IF(IFERROR(Operating_Costs!D$35/Attendance_Revenue!D$30,0)&gt;0.45,"HIGH",IF(IFERROR(Operating_Costs!D$35/Attendance_Revenue!D$30,0)&lt;0.15,"LOW","PASS"))</f>
        <v>PASS</v>
      </c>
      <c r="E8" s="57" t="str">
        <f aca="false">IF(IFERROR(Operating_Costs!E$35/Attendance_Revenue!E$30,0)&gt;0.45,"HIGH",IF(IFERROR(Operating_Costs!E$35/Attendance_Revenue!E$30,0)&lt;0.15,"LOW","PASS"))</f>
        <v>HIGH</v>
      </c>
      <c r="F8" s="57" t="str">
        <f aca="false">IF(IFERROR(Operating_Costs!F$35/Attendance_Revenue!F$30,0)&gt;0.45,"HIGH",IF(IFERROR(Operating_Costs!F$35/Attendance_Revenue!F$30,0)&lt;0.15,"LOW","PASS"))</f>
        <v>HIGH</v>
      </c>
      <c r="G8" s="57" t="str">
        <f aca="false">IF(IFERROR(Operating_Costs!G$35/Attendance_Revenue!G$30,0)&gt;0.45,"HIGH",IF(IFERROR(Operating_Costs!G$35/Attendance_Revenue!G$30,0)&lt;0.15,"LOW","PASS"))</f>
        <v>HIGH</v>
      </c>
      <c r="H8" s="57" t="str">
        <f aca="false">IF(IFERROR(Operating_Costs!H$35/Attendance_Revenue!H$30,0)&gt;0.45,"HIGH",IF(IFERROR(Operating_Costs!H$35/Attendance_Revenue!H$30,0)&lt;0.15,"LOW","PASS"))</f>
        <v>HIGH</v>
      </c>
      <c r="I8" s="57" t="str">
        <f aca="false">IF(IFERROR(Operating_Costs!I$35/Attendance_Revenue!I$30,0)&gt;0.45,"HIGH",IF(IFERROR(Operating_Costs!I$35/Attendance_Revenue!I$30,0)&lt;0.15,"LOW","PASS"))</f>
        <v>HIGH</v>
      </c>
    </row>
    <row r="9" customFormat="false" ht="15" hidden="false" customHeight="false" outlineLevel="0" collapsed="false">
      <c r="A9" s="5"/>
      <c r="B9" s="7" t="s">
        <v>348</v>
      </c>
      <c r="C9" s="57" t="str">
        <f aca="false">IF(Debt_Schedule!C$14&lt;=0,"N/A",IF(Debt_Schedule!C$20&gt;=1.2,"PASS","FAIL"))</f>
        <v>PASS</v>
      </c>
      <c r="D9" s="57" t="str">
        <f aca="false">IF(Debt_Schedule!D$14&lt;=0,"N/A",IF(Debt_Schedule!D$20&gt;=1.2,"PASS","FAIL"))</f>
        <v>PASS</v>
      </c>
      <c r="E9" s="57" t="str">
        <f aca="false">IF(Debt_Schedule!E$14&lt;=0,"N/A",IF(Debt_Schedule!E$20&gt;=1.2,"PASS","FAIL"))</f>
        <v>PASS</v>
      </c>
      <c r="F9" s="57" t="str">
        <f aca="false">IF(Debt_Schedule!F$14&lt;=0,"N/A",IF(Debt_Schedule!F$20&gt;=1.2,"PASS","FAIL"))</f>
        <v>PASS</v>
      </c>
      <c r="G9" s="57" t="str">
        <f aca="false">IF(Debt_Schedule!G$14&lt;=0,"N/A",IF(Debt_Schedule!G$20&gt;=1.2,"PASS","FAIL"))</f>
        <v>PASS</v>
      </c>
      <c r="H9" s="57" t="str">
        <f aca="false">IF(Debt_Schedule!H$14&lt;=0,"N/A",IF(Debt_Schedule!H$20&gt;=1.2,"PASS","FAIL"))</f>
        <v>PASS</v>
      </c>
      <c r="I9" s="57" t="str">
        <f aca="false">IF(Debt_Schedule!I$14&lt;=0,"N/A",IF(Debt_Schedule!I$20&gt;=1.2,"PASS","FAIL"))</f>
        <v>PASS</v>
      </c>
    </row>
    <row r="10" customFormat="false" ht="15" hidden="false" customHeight="false" outlineLevel="0" collapsed="false">
      <c r="A10" s="5"/>
      <c r="B10" s="7" t="s">
        <v>349</v>
      </c>
      <c r="C10" s="57" t="str">
        <f aca="false">IF(Cash_Flow!C$28&gt;=0,"PASS","FAIL")</f>
        <v>PASS</v>
      </c>
      <c r="D10" s="57" t="str">
        <f aca="false">IF(Cash_Flow!D$28&gt;=0,"PASS","FAIL")</f>
        <v>PASS</v>
      </c>
      <c r="E10" s="57" t="str">
        <f aca="false">IF(Cash_Flow!E$28&gt;=0,"PASS","FAIL")</f>
        <v>PASS</v>
      </c>
      <c r="F10" s="57" t="str">
        <f aca="false">IF(Cash_Flow!F$28&gt;=0,"PASS","FAIL")</f>
        <v>PASS</v>
      </c>
      <c r="G10" s="57" t="str">
        <f aca="false">IF(Cash_Flow!G$28&gt;=0,"PASS","FAIL")</f>
        <v>PASS</v>
      </c>
      <c r="H10" s="57" t="str">
        <f aca="false">IF(Cash_Flow!H$28&gt;=0,"PASS","FAIL")</f>
        <v>PASS</v>
      </c>
      <c r="I10" s="57" t="str">
        <f aca="false">IF(Cash_Flow!I$28&gt;=0,"PASS","FAIL")</f>
        <v>PASS</v>
      </c>
    </row>
    <row r="11" customFormat="false" ht="15" hidden="false" customHeight="false" outlineLevel="0" collapsed="false">
      <c r="A11" s="5"/>
      <c r="B11" s="7" t="s">
        <v>350</v>
      </c>
      <c r="C11" s="57" t="str">
        <f aca="false">IF(IFERROR(Operating_Costs!C$22/Attendance_Revenue!C$30,0)&gt;0.4,"HIGH",IF(IFERROR(Operating_Costs!C$22/Attendance_Revenue!C$30,0)&lt;0.2,"LOW","PASS"))</f>
        <v>PASS</v>
      </c>
      <c r="D11" s="57" t="str">
        <f aca="false">IF(IFERROR(Operating_Costs!D$22/Attendance_Revenue!D$30,0)&gt;0.4,"HIGH",IF(IFERROR(Operating_Costs!D$22/Attendance_Revenue!D$30,0)&lt;0.2,"LOW","PASS"))</f>
        <v>PASS</v>
      </c>
      <c r="E11" s="57" t="str">
        <f aca="false">IF(IFERROR(Operating_Costs!E$22/Attendance_Revenue!E$30,0)&gt;0.4,"HIGH",IF(IFERROR(Operating_Costs!E$22/Attendance_Revenue!E$30,0)&lt;0.2,"LOW","PASS"))</f>
        <v>LOW</v>
      </c>
      <c r="F11" s="57" t="str">
        <f aca="false">IF(IFERROR(Operating_Costs!F$22/Attendance_Revenue!F$30,0)&gt;0.4,"HIGH",IF(IFERROR(Operating_Costs!F$22/Attendance_Revenue!F$30,0)&lt;0.2,"LOW","PASS"))</f>
        <v>LOW</v>
      </c>
      <c r="G11" s="57" t="str">
        <f aca="false">IF(IFERROR(Operating_Costs!G$22/Attendance_Revenue!G$30,0)&gt;0.4,"HIGH",IF(IFERROR(Operating_Costs!G$22/Attendance_Revenue!G$30,0)&lt;0.2,"LOW","PASS"))</f>
        <v>LOW</v>
      </c>
      <c r="H11" s="57" t="str">
        <f aca="false">IF(IFERROR(Operating_Costs!H$22/Attendance_Revenue!H$30,0)&gt;0.4,"HIGH",IF(IFERROR(Operating_Costs!H$22/Attendance_Revenue!H$30,0)&lt;0.2,"LOW","PASS"))</f>
        <v>LOW</v>
      </c>
      <c r="I11" s="57" t="str">
        <f aca="false">IF(IFERROR(Operating_Costs!I$22/Attendance_Revenue!I$30,0)&gt;0.4,"HIGH",IF(IFERROR(Operating_Costs!I$22/Attendance_Revenue!I$30,0)&lt;0.2,"LOW","PASS"))</f>
        <v>LOW</v>
      </c>
    </row>
    <row r="12" customFormat="false" ht="15" hidden="false" customHeight="false" outlineLevel="0" collapsed="false">
      <c r="A12" s="5"/>
      <c r="B12" s="7" t="s">
        <v>351</v>
      </c>
      <c r="C12" s="57" t="str">
        <f aca="false">IF(IFERROR(Operating_Costs!C$15/Attendance_Revenue!C$30,0)&gt;0.8,"HIGH",IF(IFERROR(Operating_Costs!C$15/Attendance_Revenue!C$30,0)&lt;0.6,"LOW","PASS"))</f>
        <v>HIGH</v>
      </c>
      <c r="D12" s="57" t="str">
        <f aca="false">IF(IFERROR(Operating_Costs!D$15/Attendance_Revenue!D$30,0)&gt;0.8,"HIGH",IF(IFERROR(Operating_Costs!D$15/Attendance_Revenue!D$30,0)&lt;0.6,"LOW","PASS"))</f>
        <v>HIGH</v>
      </c>
      <c r="E12" s="57" t="str">
        <f aca="false">IF(IFERROR(Operating_Costs!E$15/Attendance_Revenue!E$30,0)&gt;0.8,"HIGH",IF(IFERROR(Operating_Costs!E$15/Attendance_Revenue!E$30,0)&lt;0.6,"LOW","PASS"))</f>
        <v>HIGH</v>
      </c>
      <c r="F12" s="57" t="str">
        <f aca="false">IF(IFERROR(Operating_Costs!F$15/Attendance_Revenue!F$30,0)&gt;0.8,"HIGH",IF(IFERROR(Operating_Costs!F$15/Attendance_Revenue!F$30,0)&lt;0.6,"LOW","PASS"))</f>
        <v>HIGH</v>
      </c>
      <c r="G12" s="57" t="str">
        <f aca="false">IF(IFERROR(Operating_Costs!G$15/Attendance_Revenue!G$30,0)&gt;0.8,"HIGH",IF(IFERROR(Operating_Costs!G$15/Attendance_Revenue!G$30,0)&lt;0.6,"LOW","PASS"))</f>
        <v>HIGH</v>
      </c>
      <c r="H12" s="57" t="str">
        <f aca="false">IF(IFERROR(Operating_Costs!H$15/Attendance_Revenue!H$30,0)&gt;0.8,"HIGH",IF(IFERROR(Operating_Costs!H$15/Attendance_Revenue!H$30,0)&lt;0.6,"LOW","PASS"))</f>
        <v>HIGH</v>
      </c>
      <c r="I12" s="57" t="str">
        <f aca="false">IF(IFERROR(Operating_Costs!I$15/Attendance_Revenue!I$30,0)&gt;0.8,"HIGH",IF(IFERROR(Operating_Costs!I$15/Attendance_Revenue!I$30,0)&lt;0.6,"LOW","PASS"))</f>
        <v>HIGH</v>
      </c>
    </row>
    <row r="13" customFormat="false" ht="15" hidden="false" customHeight="false" outlineLevel="0" collapsed="false">
      <c r="A13" s="5"/>
      <c r="B13" s="7" t="s">
        <v>352</v>
      </c>
      <c r="C13" s="57" t="str">
        <f aca="false">IF(Capex_Depreciation!C$31&gt;=0,"PASS","FAIL")</f>
        <v>PASS</v>
      </c>
      <c r="D13" s="57" t="str">
        <f aca="false">IF(Capex_Depreciation!D$31&gt;=0,"PASS","FAIL")</f>
        <v>PASS</v>
      </c>
      <c r="E13" s="57" t="str">
        <f aca="false">IF(Capex_Depreciation!E$31&gt;=0,"PASS","FAIL")</f>
        <v>PASS</v>
      </c>
      <c r="F13" s="57" t="str">
        <f aca="false">IF(Capex_Depreciation!F$31&gt;=0,"PASS","FAIL")</f>
        <v>PASS</v>
      </c>
      <c r="G13" s="57" t="str">
        <f aca="false">IF(Capex_Depreciation!G$31&gt;=0,"PASS","FAIL")</f>
        <v>PASS</v>
      </c>
      <c r="H13" s="57" t="str">
        <f aca="false">IF(Capex_Depreciation!H$31&gt;=0,"PASS","FAIL")</f>
        <v>PASS</v>
      </c>
      <c r="I13" s="57" t="str">
        <f aca="false">IF(Capex_Depreciation!I$31&gt;=0,"PASS","FAIL")</f>
        <v>PASS</v>
      </c>
    </row>
    <row r="14" customFormat="false" ht="15" hidden="false" customHeight="false" outlineLevel="0" collapsed="false">
      <c r="A14" s="5"/>
      <c r="B14" s="7" t="s">
        <v>353</v>
      </c>
      <c r="C14" s="57" t="str">
        <f aca="false">IF(Attendance_Revenue!C$12&lt;=Max_Daily_Capacity*Operating_Days,"PASS","FAIL")</f>
        <v>PASS</v>
      </c>
      <c r="D14" s="57" t="str">
        <f aca="false">IF(Attendance_Revenue!D$12&lt;=Max_Daily_Capacity*Operating_Days,"PASS","FAIL")</f>
        <v>PASS</v>
      </c>
      <c r="E14" s="57" t="str">
        <f aca="false">IF(Attendance_Revenue!E$12&lt;=Max_Daily_Capacity*Operating_Days,"PASS","FAIL")</f>
        <v>PASS</v>
      </c>
      <c r="F14" s="57" t="str">
        <f aca="false">IF(Attendance_Revenue!F$12&lt;=Max_Daily_Capacity*Operating_Days,"PASS","FAIL")</f>
        <v>PASS</v>
      </c>
      <c r="G14" s="57" t="str">
        <f aca="false">IF(Attendance_Revenue!G$12&lt;=Max_Daily_Capacity*Operating_Days,"PASS","FAIL")</f>
        <v>PASS</v>
      </c>
      <c r="H14" s="57" t="str">
        <f aca="false">IF(Attendance_Revenue!H$12&lt;=Max_Daily_Capacity*Operating_Days,"PASS","FAIL")</f>
        <v>PASS</v>
      </c>
      <c r="I14" s="57" t="str">
        <f aca="false">IF(Attendance_Revenue!I$12&lt;=Max_Daily_Capacity*Operating_Days,"PASS","FAIL")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44</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45</v>
      </c>
    </row>
    <row r="6" customFormat="false" ht="48" hidden="false" customHeight="true" outlineLevel="0" collapsed="false">
      <c r="A6" s="5"/>
      <c r="B6" s="23" t="s">
        <v>46</v>
      </c>
    </row>
    <row r="7" customFormat="false" ht="15" hidden="false" customHeight="false" outlineLevel="0" collapsed="false">
      <c r="A7" s="5"/>
      <c r="B7" s="5"/>
    </row>
    <row r="8" customFormat="false" ht="19.5" hidden="false" customHeight="true" outlineLevel="0" collapsed="false">
      <c r="A8" s="5"/>
      <c r="B8" s="22" t="s">
        <v>47</v>
      </c>
    </row>
    <row r="9" customFormat="false" ht="61.5" hidden="false" customHeight="true" outlineLevel="0" collapsed="false">
      <c r="A9" s="5"/>
      <c r="B9" s="23" t="s">
        <v>48</v>
      </c>
    </row>
    <row r="10" customFormat="false" ht="15" hidden="false" customHeight="false" outlineLevel="0" collapsed="false">
      <c r="A10" s="5"/>
      <c r="B10" s="5"/>
    </row>
    <row r="11" customFormat="false" ht="19.5" hidden="false" customHeight="true" outlineLevel="0" collapsed="false">
      <c r="A11" s="5"/>
      <c r="B11" s="22" t="s">
        <v>49</v>
      </c>
    </row>
    <row r="12" customFormat="false" ht="75.75" hidden="false" customHeight="true" outlineLevel="0" collapsed="false">
      <c r="A12" s="5"/>
      <c r="B12" s="23" t="s">
        <v>50</v>
      </c>
    </row>
    <row r="13" customFormat="false" ht="15" hidden="false" customHeight="false" outlineLevel="0" collapsed="false">
      <c r="A13" s="5"/>
      <c r="B13" s="5"/>
    </row>
    <row r="14" customFormat="false" ht="19.5" hidden="false" customHeight="true" outlineLevel="0" collapsed="false">
      <c r="A14" s="5"/>
      <c r="B14" s="22" t="s">
        <v>51</v>
      </c>
    </row>
    <row r="15" customFormat="false" ht="61.5" hidden="false" customHeight="true" outlineLevel="0" collapsed="false">
      <c r="A15" s="5"/>
      <c r="B15" s="23" t="s">
        <v>52</v>
      </c>
    </row>
    <row r="16" customFormat="false" ht="15" hidden="false" customHeight="false" outlineLevel="0" collapsed="false">
      <c r="A16" s="5"/>
      <c r="B16" s="5"/>
    </row>
    <row r="17" customFormat="false" ht="19.5" hidden="false" customHeight="true" outlineLevel="0" collapsed="false">
      <c r="A17" s="5"/>
      <c r="B17" s="22" t="s">
        <v>53</v>
      </c>
    </row>
    <row r="18" customFormat="false" ht="33.75" hidden="false" customHeight="true" outlineLevel="0" collapsed="false">
      <c r="A18" s="5"/>
      <c r="B18" s="23" t="s">
        <v>54</v>
      </c>
    </row>
    <row r="19" customFormat="false" ht="15" hidden="false" customHeight="false" outlineLevel="0" collapsed="false">
      <c r="A19" s="5"/>
      <c r="B19" s="5"/>
    </row>
    <row r="20" customFormat="false" ht="19.5" hidden="false" customHeight="true" outlineLevel="0" collapsed="false">
      <c r="A20" s="5"/>
      <c r="B20" s="22" t="s">
        <v>55</v>
      </c>
    </row>
    <row r="21" customFormat="false" ht="33.75" hidden="false" customHeight="true" outlineLevel="0" collapsed="false">
      <c r="A21" s="5"/>
      <c r="B21" s="23" t="s">
        <v>56</v>
      </c>
    </row>
    <row r="22" customFormat="false" ht="15" hidden="false" customHeight="false" outlineLevel="0" collapsed="false">
      <c r="A22" s="5"/>
      <c r="B22" s="5"/>
    </row>
    <row r="23" customFormat="false" ht="21.75" hidden="false" customHeight="true" outlineLevel="0" collapsed="false">
      <c r="A23" s="5"/>
      <c r="B23" s="24" t="s">
        <v>57</v>
      </c>
    </row>
    <row r="24" customFormat="false" ht="15" hidden="false" customHeight="false" outlineLevel="0" collapsed="false">
      <c r="A24" s="5"/>
      <c r="B24" s="5"/>
    </row>
    <row r="25" customFormat="false" ht="18" hidden="false" customHeight="true" outlineLevel="0" collapsed="false">
      <c r="A25" s="5"/>
      <c r="B25" s="25" t="s">
        <v>58</v>
      </c>
    </row>
    <row r="26" customFormat="false" ht="201.75" hidden="false" customHeight="true" outlineLevel="0" collapsed="false">
      <c r="A26" s="5"/>
      <c r="B26" s="26" t="s">
        <v>59</v>
      </c>
    </row>
    <row r="27" customFormat="false" ht="15" hidden="false" customHeight="false" outlineLevel="0" collapsed="false">
      <c r="A27" s="5"/>
      <c r="B27" s="5"/>
    </row>
    <row r="28" customFormat="false" ht="18" hidden="false" customHeight="true" outlineLevel="0" collapsed="false">
      <c r="A28" s="5"/>
      <c r="B28" s="27" t="s">
        <v>60</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7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7</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61</v>
      </c>
      <c r="C5" s="31" t="s">
        <v>62</v>
      </c>
      <c r="D5" s="31" t="s">
        <v>63</v>
      </c>
      <c r="E5" s="31" t="s">
        <v>64</v>
      </c>
    </row>
    <row r="6" customFormat="false" ht="15" hidden="false" customHeight="false" outlineLevel="0" collapsed="false">
      <c r="A6" s="5"/>
      <c r="B6" s="15" t="s">
        <v>65</v>
      </c>
      <c r="C6" s="16"/>
      <c r="D6" s="16"/>
      <c r="E6" s="16"/>
    </row>
    <row r="7" customFormat="false" ht="15" hidden="false" customHeight="false" outlineLevel="0" collapsed="false">
      <c r="A7" s="5"/>
      <c r="B7" s="7" t="s">
        <v>66</v>
      </c>
      <c r="C7" s="32" t="n">
        <v>2025</v>
      </c>
      <c r="D7" s="33" t="s">
        <v>67</v>
      </c>
      <c r="E7" s="8" t="s">
        <v>68</v>
      </c>
    </row>
    <row r="8" customFormat="false" ht="15" hidden="false" customHeight="false" outlineLevel="0" collapsed="false">
      <c r="A8" s="5"/>
      <c r="B8" s="7" t="s">
        <v>69</v>
      </c>
      <c r="C8" s="32" t="n">
        <v>7</v>
      </c>
      <c r="D8" s="33" t="s">
        <v>70</v>
      </c>
      <c r="E8" s="8" t="s">
        <v>71</v>
      </c>
    </row>
    <row r="9" customFormat="false" ht="15" hidden="false" customHeight="false" outlineLevel="0" collapsed="false">
      <c r="A9" s="5"/>
      <c r="B9" s="15" t="s">
        <v>72</v>
      </c>
      <c r="C9" s="16"/>
      <c r="D9" s="16"/>
      <c r="E9" s="16"/>
    </row>
    <row r="10" customFormat="false" ht="15" hidden="false" customHeight="false" outlineLevel="0" collapsed="false">
      <c r="A10" s="5"/>
      <c r="B10" s="7" t="s">
        <v>73</v>
      </c>
      <c r="C10" s="32" t="n">
        <v>1200000</v>
      </c>
      <c r="D10" s="33" t="s">
        <v>74</v>
      </c>
      <c r="E10" s="8" t="s">
        <v>75</v>
      </c>
    </row>
    <row r="11" customFormat="false" ht="15" hidden="false" customHeight="false" outlineLevel="0" collapsed="false">
      <c r="A11" s="5"/>
      <c r="B11" s="7" t="s">
        <v>76</v>
      </c>
      <c r="C11" s="32" t="n">
        <v>8000</v>
      </c>
      <c r="D11" s="33" t="s">
        <v>77</v>
      </c>
      <c r="E11" s="8" t="s">
        <v>78</v>
      </c>
    </row>
    <row r="12" customFormat="false" ht="15" hidden="false" customHeight="false" outlineLevel="0" collapsed="false">
      <c r="A12" s="5"/>
      <c r="B12" s="7" t="s">
        <v>79</v>
      </c>
      <c r="C12" s="32" t="n">
        <v>250</v>
      </c>
      <c r="D12" s="33" t="s">
        <v>80</v>
      </c>
      <c r="E12" s="8" t="s">
        <v>81</v>
      </c>
    </row>
    <row r="13" customFormat="false" ht="15" hidden="false" customHeight="false" outlineLevel="0" collapsed="false">
      <c r="A13" s="5"/>
      <c r="B13" s="7" t="s">
        <v>82</v>
      </c>
      <c r="C13" s="34" t="n">
        <v>0.55</v>
      </c>
      <c r="D13" s="33" t="s">
        <v>83</v>
      </c>
      <c r="E13" s="8" t="s">
        <v>84</v>
      </c>
    </row>
    <row r="14" customFormat="false" ht="15" hidden="false" customHeight="false" outlineLevel="0" collapsed="false">
      <c r="A14" s="5"/>
      <c r="B14" s="7" t="s">
        <v>85</v>
      </c>
      <c r="C14" s="34" t="n">
        <v>0.75</v>
      </c>
      <c r="D14" s="33" t="s">
        <v>83</v>
      </c>
      <c r="E14" s="8" t="s">
        <v>84</v>
      </c>
    </row>
    <row r="15" customFormat="false" ht="15" hidden="false" customHeight="false" outlineLevel="0" collapsed="false">
      <c r="A15" s="5"/>
      <c r="B15" s="7" t="s">
        <v>86</v>
      </c>
      <c r="C15" s="34" t="n">
        <v>0.9</v>
      </c>
      <c r="D15" s="33" t="s">
        <v>83</v>
      </c>
      <c r="E15" s="8" t="s">
        <v>84</v>
      </c>
    </row>
    <row r="16" customFormat="false" ht="15" hidden="false" customHeight="false" outlineLevel="0" collapsed="false">
      <c r="A16" s="5"/>
      <c r="B16" s="7" t="s">
        <v>87</v>
      </c>
      <c r="C16" s="34" t="n">
        <v>0.02</v>
      </c>
      <c r="D16" s="33" t="s">
        <v>88</v>
      </c>
      <c r="E16" s="8" t="s">
        <v>89</v>
      </c>
    </row>
    <row r="17" customFormat="false" ht="15" hidden="false" customHeight="false" outlineLevel="0" collapsed="false">
      <c r="A17" s="5"/>
      <c r="B17" s="15" t="s">
        <v>90</v>
      </c>
      <c r="C17" s="16"/>
      <c r="D17" s="16"/>
      <c r="E17" s="16"/>
    </row>
    <row r="18" customFormat="false" ht="15" hidden="false" customHeight="false" outlineLevel="0" collapsed="false">
      <c r="A18" s="5"/>
      <c r="B18" s="7" t="s">
        <v>91</v>
      </c>
      <c r="C18" s="35" t="n">
        <v>65</v>
      </c>
      <c r="D18" s="33" t="s">
        <v>92</v>
      </c>
      <c r="E18" s="8" t="s">
        <v>93</v>
      </c>
    </row>
    <row r="19" customFormat="false" ht="15" hidden="false" customHeight="false" outlineLevel="0" collapsed="false">
      <c r="A19" s="5"/>
      <c r="B19" s="7" t="s">
        <v>94</v>
      </c>
      <c r="C19" s="34" t="n">
        <v>0.035</v>
      </c>
      <c r="D19" s="33" t="s">
        <v>88</v>
      </c>
      <c r="E19" s="8" t="s">
        <v>95</v>
      </c>
    </row>
    <row r="20" customFormat="false" ht="15" hidden="false" customHeight="false" outlineLevel="0" collapsed="false">
      <c r="A20" s="5"/>
      <c r="B20" s="7" t="s">
        <v>96</v>
      </c>
      <c r="C20" s="34" t="n">
        <v>0.7</v>
      </c>
      <c r="D20" s="33" t="s">
        <v>83</v>
      </c>
      <c r="E20" s="8" t="s">
        <v>97</v>
      </c>
    </row>
    <row r="21" customFormat="false" ht="15" hidden="false" customHeight="false" outlineLevel="0" collapsed="false">
      <c r="A21" s="5"/>
      <c r="B21" s="7" t="s">
        <v>98</v>
      </c>
      <c r="C21" s="35" t="n">
        <v>22</v>
      </c>
      <c r="D21" s="33" t="s">
        <v>99</v>
      </c>
      <c r="E21" s="8" t="s">
        <v>100</v>
      </c>
    </row>
    <row r="22" customFormat="false" ht="15" hidden="false" customHeight="false" outlineLevel="0" collapsed="false">
      <c r="A22" s="5"/>
      <c r="B22" s="7" t="s">
        <v>101</v>
      </c>
      <c r="C22" s="34" t="n">
        <v>0.35</v>
      </c>
      <c r="D22" s="33" t="s">
        <v>83</v>
      </c>
      <c r="E22" s="8" t="s">
        <v>102</v>
      </c>
    </row>
    <row r="23" customFormat="false" ht="15" hidden="false" customHeight="false" outlineLevel="0" collapsed="false">
      <c r="A23" s="5"/>
      <c r="B23" s="7" t="s">
        <v>103</v>
      </c>
      <c r="C23" s="35" t="n">
        <v>18</v>
      </c>
      <c r="D23" s="33" t="s">
        <v>99</v>
      </c>
      <c r="E23" s="8" t="s">
        <v>104</v>
      </c>
    </row>
    <row r="24" customFormat="false" ht="15" hidden="false" customHeight="false" outlineLevel="0" collapsed="false">
      <c r="A24" s="5"/>
      <c r="B24" s="7" t="s">
        <v>105</v>
      </c>
      <c r="C24" s="34" t="n">
        <v>0.2</v>
      </c>
      <c r="D24" s="33" t="s">
        <v>83</v>
      </c>
      <c r="E24" s="8" t="s">
        <v>106</v>
      </c>
    </row>
    <row r="25" customFormat="false" ht="15" hidden="false" customHeight="false" outlineLevel="0" collapsed="false">
      <c r="A25" s="5"/>
      <c r="B25" s="7" t="s">
        <v>107</v>
      </c>
      <c r="C25" s="35" t="n">
        <v>35</v>
      </c>
      <c r="D25" s="33" t="s">
        <v>99</v>
      </c>
      <c r="E25" s="8" t="s">
        <v>108</v>
      </c>
    </row>
    <row r="26" customFormat="false" ht="15" hidden="false" customHeight="false" outlineLevel="0" collapsed="false">
      <c r="A26" s="5"/>
      <c r="B26" s="7" t="s">
        <v>109</v>
      </c>
      <c r="C26" s="34" t="n">
        <v>0.25</v>
      </c>
      <c r="D26" s="33" t="s">
        <v>83</v>
      </c>
      <c r="E26" s="8" t="s">
        <v>110</v>
      </c>
    </row>
    <row r="27" customFormat="false" ht="15" hidden="false" customHeight="false" outlineLevel="0" collapsed="false">
      <c r="A27" s="5"/>
      <c r="B27" s="7" t="s">
        <v>111</v>
      </c>
      <c r="C27" s="35" t="n">
        <v>10</v>
      </c>
      <c r="D27" s="33" t="s">
        <v>99</v>
      </c>
      <c r="E27" s="8" t="s">
        <v>112</v>
      </c>
    </row>
    <row r="28" customFormat="false" ht="15" hidden="false" customHeight="false" outlineLevel="0" collapsed="false">
      <c r="A28" s="5"/>
      <c r="B28" s="15" t="s">
        <v>113</v>
      </c>
      <c r="C28" s="16"/>
      <c r="D28" s="16"/>
      <c r="E28" s="16"/>
    </row>
    <row r="29" customFormat="false" ht="15" hidden="false" customHeight="false" outlineLevel="0" collapsed="false">
      <c r="A29" s="5"/>
      <c r="B29" s="7" t="s">
        <v>114</v>
      </c>
      <c r="C29" s="34" t="n">
        <v>0.3</v>
      </c>
      <c r="D29" s="33" t="s">
        <v>83</v>
      </c>
      <c r="E29" s="8" t="s">
        <v>115</v>
      </c>
    </row>
    <row r="30" customFormat="false" ht="15" hidden="false" customHeight="false" outlineLevel="0" collapsed="false">
      <c r="A30" s="5"/>
      <c r="B30" s="7" t="s">
        <v>116</v>
      </c>
      <c r="C30" s="34" t="n">
        <v>0.45</v>
      </c>
      <c r="D30" s="33" t="s">
        <v>83</v>
      </c>
      <c r="E30" s="8" t="s">
        <v>117</v>
      </c>
    </row>
    <row r="31" customFormat="false" ht="15" hidden="false" customHeight="false" outlineLevel="0" collapsed="false">
      <c r="A31" s="5"/>
      <c r="B31" s="7" t="s">
        <v>118</v>
      </c>
      <c r="C31" s="34" t="n">
        <v>0.18</v>
      </c>
      <c r="D31" s="33" t="s">
        <v>83</v>
      </c>
      <c r="E31" s="8" t="s">
        <v>119</v>
      </c>
    </row>
    <row r="32" customFormat="false" ht="15" hidden="false" customHeight="false" outlineLevel="0" collapsed="false">
      <c r="A32" s="5"/>
      <c r="B32" s="15" t="s">
        <v>120</v>
      </c>
      <c r="C32" s="16"/>
      <c r="D32" s="16"/>
      <c r="E32" s="16"/>
    </row>
    <row r="33" customFormat="false" ht="15" hidden="false" customHeight="false" outlineLevel="0" collapsed="false">
      <c r="A33" s="5"/>
      <c r="B33" s="7" t="s">
        <v>121</v>
      </c>
      <c r="C33" s="32" t="n">
        <v>80</v>
      </c>
      <c r="D33" s="33" t="s">
        <v>122</v>
      </c>
      <c r="E33" s="8" t="s">
        <v>123</v>
      </c>
    </row>
    <row r="34" customFormat="false" ht="15" hidden="false" customHeight="false" outlineLevel="0" collapsed="false">
      <c r="A34" s="5"/>
      <c r="B34" s="7" t="s">
        <v>124</v>
      </c>
      <c r="C34" s="35" t="n">
        <v>55000</v>
      </c>
      <c r="D34" s="33" t="s">
        <v>125</v>
      </c>
      <c r="E34" s="8" t="s">
        <v>126</v>
      </c>
    </row>
    <row r="35" customFormat="false" ht="15" hidden="false" customHeight="false" outlineLevel="0" collapsed="false">
      <c r="A35" s="5"/>
      <c r="B35" s="7" t="s">
        <v>127</v>
      </c>
      <c r="C35" s="34" t="n">
        <v>0.2</v>
      </c>
      <c r="D35" s="33" t="s">
        <v>83</v>
      </c>
      <c r="E35" s="8" t="s">
        <v>128</v>
      </c>
    </row>
    <row r="36" customFormat="false" ht="15" hidden="false" customHeight="false" outlineLevel="0" collapsed="false">
      <c r="A36" s="5"/>
      <c r="B36" s="7" t="s">
        <v>129</v>
      </c>
      <c r="C36" s="32" t="n">
        <v>600</v>
      </c>
      <c r="D36" s="33" t="s">
        <v>122</v>
      </c>
      <c r="E36" s="8" t="s">
        <v>130</v>
      </c>
    </row>
    <row r="37" customFormat="false" ht="15" hidden="false" customHeight="false" outlineLevel="0" collapsed="false">
      <c r="A37" s="5"/>
      <c r="B37" s="7" t="s">
        <v>131</v>
      </c>
      <c r="C37" s="35" t="n">
        <v>16</v>
      </c>
      <c r="D37" s="33" t="s">
        <v>132</v>
      </c>
      <c r="E37" s="8" t="s">
        <v>133</v>
      </c>
    </row>
    <row r="38" customFormat="false" ht="15" hidden="false" customHeight="false" outlineLevel="0" collapsed="false">
      <c r="A38" s="5"/>
      <c r="B38" s="7" t="s">
        <v>134</v>
      </c>
      <c r="C38" s="32" t="n">
        <v>30</v>
      </c>
      <c r="D38" s="33" t="s">
        <v>135</v>
      </c>
      <c r="E38" s="8" t="s">
        <v>136</v>
      </c>
    </row>
    <row r="39" customFormat="false" ht="15" hidden="false" customHeight="false" outlineLevel="0" collapsed="false">
      <c r="A39" s="5"/>
      <c r="B39" s="7" t="s">
        <v>137</v>
      </c>
      <c r="C39" s="32" t="n">
        <v>35</v>
      </c>
      <c r="D39" s="33" t="s">
        <v>138</v>
      </c>
      <c r="E39" s="8" t="s">
        <v>139</v>
      </c>
    </row>
    <row r="40" customFormat="false" ht="15" hidden="false" customHeight="false" outlineLevel="0" collapsed="false">
      <c r="A40" s="5"/>
      <c r="B40" s="15" t="s">
        <v>140</v>
      </c>
      <c r="C40" s="16"/>
      <c r="D40" s="16"/>
      <c r="E40" s="16"/>
    </row>
    <row r="41" customFormat="false" ht="15" hidden="false" customHeight="false" outlineLevel="0" collapsed="false">
      <c r="A41" s="5"/>
      <c r="B41" s="7" t="s">
        <v>141</v>
      </c>
      <c r="C41" s="34" t="n">
        <v>0.06</v>
      </c>
      <c r="D41" s="33" t="s">
        <v>83</v>
      </c>
      <c r="E41" s="8" t="s">
        <v>142</v>
      </c>
    </row>
    <row r="42" customFormat="false" ht="15" hidden="false" customHeight="false" outlineLevel="0" collapsed="false">
      <c r="A42" s="5"/>
      <c r="B42" s="7" t="s">
        <v>143</v>
      </c>
      <c r="C42" s="34" t="n">
        <v>0.04</v>
      </c>
      <c r="D42" s="33" t="s">
        <v>83</v>
      </c>
      <c r="E42" s="8" t="s">
        <v>142</v>
      </c>
    </row>
    <row r="43" customFormat="false" ht="15" hidden="false" customHeight="false" outlineLevel="0" collapsed="false">
      <c r="A43" s="5"/>
      <c r="B43" s="7" t="s">
        <v>144</v>
      </c>
      <c r="C43" s="34" t="n">
        <v>0.06</v>
      </c>
      <c r="D43" s="33" t="s">
        <v>83</v>
      </c>
      <c r="E43" s="8" t="s">
        <v>142</v>
      </c>
    </row>
    <row r="44" customFormat="false" ht="15" hidden="false" customHeight="false" outlineLevel="0" collapsed="false">
      <c r="A44" s="5"/>
      <c r="B44" s="7" t="s">
        <v>145</v>
      </c>
      <c r="C44" s="34" t="n">
        <v>0.05</v>
      </c>
      <c r="D44" s="33" t="s">
        <v>83</v>
      </c>
      <c r="E44" s="8" t="s">
        <v>142</v>
      </c>
    </row>
    <row r="45" customFormat="false" ht="15" hidden="false" customHeight="false" outlineLevel="0" collapsed="false">
      <c r="A45" s="5"/>
      <c r="B45" s="7" t="s">
        <v>146</v>
      </c>
      <c r="C45" s="35" t="n">
        <v>800000</v>
      </c>
      <c r="D45" s="33" t="s">
        <v>125</v>
      </c>
      <c r="E45" s="8" t="s">
        <v>147</v>
      </c>
    </row>
    <row r="46" customFormat="false" ht="15" hidden="false" customHeight="false" outlineLevel="0" collapsed="false">
      <c r="A46" s="5"/>
      <c r="B46" s="7" t="s">
        <v>148</v>
      </c>
      <c r="C46" s="34" t="n">
        <v>0.05</v>
      </c>
      <c r="D46" s="33" t="s">
        <v>83</v>
      </c>
      <c r="E46" s="8" t="s">
        <v>142</v>
      </c>
    </row>
    <row r="47" customFormat="false" ht="15" hidden="false" customHeight="false" outlineLevel="0" collapsed="false">
      <c r="A47" s="5"/>
      <c r="B47" s="7" t="s">
        <v>149</v>
      </c>
      <c r="C47" s="34" t="n">
        <v>0.025</v>
      </c>
      <c r="D47" s="33" t="s">
        <v>83</v>
      </c>
      <c r="E47" s="8" t="s">
        <v>142</v>
      </c>
    </row>
    <row r="48" customFormat="false" ht="15" hidden="false" customHeight="false" outlineLevel="0" collapsed="false">
      <c r="A48" s="5"/>
      <c r="B48" s="7" t="s">
        <v>150</v>
      </c>
      <c r="C48" s="34" t="n">
        <v>0.03</v>
      </c>
      <c r="D48" s="33" t="s">
        <v>88</v>
      </c>
      <c r="E48" s="8" t="s">
        <v>151</v>
      </c>
    </row>
    <row r="49" customFormat="false" ht="15" hidden="false" customHeight="false" outlineLevel="0" collapsed="false">
      <c r="A49" s="5"/>
      <c r="B49" s="7" t="s">
        <v>152</v>
      </c>
      <c r="C49" s="34" t="n">
        <v>0.025</v>
      </c>
      <c r="D49" s="33" t="s">
        <v>88</v>
      </c>
      <c r="E49" s="8" t="s">
        <v>153</v>
      </c>
    </row>
    <row r="50" customFormat="false" ht="15" hidden="false" customHeight="false" outlineLevel="0" collapsed="false">
      <c r="A50" s="5"/>
      <c r="B50" s="15" t="s">
        <v>154</v>
      </c>
      <c r="C50" s="16"/>
      <c r="D50" s="16"/>
      <c r="E50" s="16"/>
    </row>
    <row r="51" customFormat="false" ht="15" hidden="false" customHeight="false" outlineLevel="0" collapsed="false">
      <c r="A51" s="5"/>
      <c r="B51" s="7" t="s">
        <v>155</v>
      </c>
      <c r="C51" s="35" t="n">
        <v>120000000</v>
      </c>
      <c r="D51" s="33" t="s">
        <v>156</v>
      </c>
      <c r="E51" s="8" t="s">
        <v>157</v>
      </c>
    </row>
    <row r="52" customFormat="false" ht="15" hidden="false" customHeight="false" outlineLevel="0" collapsed="false">
      <c r="A52" s="5"/>
      <c r="B52" s="7" t="s">
        <v>158</v>
      </c>
      <c r="C52" s="34" t="n">
        <v>0.45</v>
      </c>
      <c r="D52" s="33" t="s">
        <v>83</v>
      </c>
      <c r="E52" s="8" t="s">
        <v>159</v>
      </c>
    </row>
    <row r="53" customFormat="false" ht="15" hidden="false" customHeight="false" outlineLevel="0" collapsed="false">
      <c r="A53" s="5"/>
      <c r="B53" s="7" t="s">
        <v>160</v>
      </c>
      <c r="C53" s="34" t="n">
        <v>0.4</v>
      </c>
      <c r="D53" s="33" t="s">
        <v>83</v>
      </c>
      <c r="E53" s="8" t="s">
        <v>159</v>
      </c>
    </row>
    <row r="54" customFormat="false" ht="15" hidden="false" customHeight="false" outlineLevel="0" collapsed="false">
      <c r="A54" s="5"/>
      <c r="B54" s="7" t="s">
        <v>161</v>
      </c>
      <c r="C54" s="34" t="n">
        <v>0.15</v>
      </c>
      <c r="D54" s="33" t="s">
        <v>83</v>
      </c>
      <c r="E54" s="8" t="s">
        <v>159</v>
      </c>
    </row>
    <row r="55" customFormat="false" ht="15" hidden="false" customHeight="false" outlineLevel="0" collapsed="false">
      <c r="A55" s="5"/>
      <c r="B55" s="7" t="s">
        <v>162</v>
      </c>
      <c r="C55" s="32" t="n">
        <v>15</v>
      </c>
      <c r="D55" s="33" t="s">
        <v>70</v>
      </c>
      <c r="E55" s="8" t="s">
        <v>163</v>
      </c>
    </row>
    <row r="56" customFormat="false" ht="15" hidden="false" customHeight="false" outlineLevel="0" collapsed="false">
      <c r="A56" s="5"/>
      <c r="B56" s="7" t="s">
        <v>164</v>
      </c>
      <c r="C56" s="32" t="n">
        <v>30</v>
      </c>
      <c r="D56" s="33" t="s">
        <v>70</v>
      </c>
      <c r="E56" s="8" t="s">
        <v>165</v>
      </c>
    </row>
    <row r="57" customFormat="false" ht="15" hidden="false" customHeight="false" outlineLevel="0" collapsed="false">
      <c r="A57" s="5"/>
      <c r="B57" s="7" t="s">
        <v>166</v>
      </c>
      <c r="C57" s="32" t="n">
        <v>7</v>
      </c>
      <c r="D57" s="33" t="s">
        <v>70</v>
      </c>
      <c r="E57" s="8" t="s">
        <v>167</v>
      </c>
    </row>
    <row r="58" customFormat="false" ht="15" hidden="false" customHeight="false" outlineLevel="0" collapsed="false">
      <c r="A58" s="5"/>
      <c r="B58" s="7" t="s">
        <v>168</v>
      </c>
      <c r="C58" s="34" t="n">
        <v>0.05</v>
      </c>
      <c r="D58" s="33" t="s">
        <v>83</v>
      </c>
      <c r="E58" s="8" t="s">
        <v>142</v>
      </c>
    </row>
    <row r="59" customFormat="false" ht="15" hidden="false" customHeight="false" outlineLevel="0" collapsed="false">
      <c r="A59" s="5"/>
      <c r="B59" s="7" t="s">
        <v>169</v>
      </c>
      <c r="C59" s="35" t="n">
        <v>8000000</v>
      </c>
      <c r="D59" s="33" t="s">
        <v>125</v>
      </c>
      <c r="E59" s="8" t="s">
        <v>170</v>
      </c>
    </row>
    <row r="60" customFormat="false" ht="15" hidden="false" customHeight="false" outlineLevel="0" collapsed="false">
      <c r="A60" s="5"/>
      <c r="B60" s="15" t="s">
        <v>171</v>
      </c>
      <c r="C60" s="16"/>
      <c r="D60" s="16"/>
      <c r="E60" s="16"/>
    </row>
    <row r="61" customFormat="false" ht="15" hidden="false" customHeight="false" outlineLevel="0" collapsed="false">
      <c r="A61" s="5"/>
      <c r="B61" s="7" t="s">
        <v>172</v>
      </c>
      <c r="C61" s="34" t="n">
        <v>0.6</v>
      </c>
      <c r="D61" s="33" t="s">
        <v>83</v>
      </c>
      <c r="E61" s="8" t="s">
        <v>173</v>
      </c>
    </row>
    <row r="62" customFormat="false" ht="15" hidden="false" customHeight="false" outlineLevel="0" collapsed="false">
      <c r="A62" s="5"/>
      <c r="B62" s="7" t="s">
        <v>174</v>
      </c>
      <c r="C62" s="34" t="n">
        <v>0.065</v>
      </c>
      <c r="D62" s="33" t="s">
        <v>83</v>
      </c>
      <c r="E62" s="8" t="s">
        <v>175</v>
      </c>
    </row>
    <row r="63" customFormat="false" ht="15" hidden="false" customHeight="false" outlineLevel="0" collapsed="false">
      <c r="A63" s="5"/>
      <c r="B63" s="7" t="s">
        <v>176</v>
      </c>
      <c r="C63" s="32" t="n">
        <v>15</v>
      </c>
      <c r="D63" s="33" t="s">
        <v>70</v>
      </c>
      <c r="E63" s="8" t="s">
        <v>177</v>
      </c>
    </row>
    <row r="64" customFormat="false" ht="15" hidden="false" customHeight="false" outlineLevel="0" collapsed="false">
      <c r="A64" s="5"/>
      <c r="B64" s="7" t="s">
        <v>178</v>
      </c>
      <c r="C64" s="32" t="n">
        <v>2</v>
      </c>
      <c r="D64" s="33" t="s">
        <v>70</v>
      </c>
      <c r="E64" s="8" t="s">
        <v>179</v>
      </c>
    </row>
    <row r="65" customFormat="false" ht="15" hidden="false" customHeight="false" outlineLevel="0" collapsed="false">
      <c r="A65" s="5"/>
      <c r="B65" s="15" t="s">
        <v>180</v>
      </c>
      <c r="C65" s="16"/>
      <c r="D65" s="16"/>
      <c r="E65" s="16"/>
    </row>
    <row r="66" customFormat="false" ht="15" hidden="false" customHeight="false" outlineLevel="0" collapsed="false">
      <c r="A66" s="5"/>
      <c r="B66" s="7" t="s">
        <v>181</v>
      </c>
      <c r="C66" s="34" t="n">
        <v>0.25</v>
      </c>
      <c r="D66" s="33" t="s">
        <v>83</v>
      </c>
      <c r="E66" s="8" t="s">
        <v>182</v>
      </c>
    </row>
    <row r="67" customFormat="false" ht="15" hidden="false" customHeight="false" outlineLevel="0" collapsed="false">
      <c r="A67" s="5"/>
      <c r="B67" s="7" t="s">
        <v>183</v>
      </c>
      <c r="C67" s="32" t="n">
        <v>5</v>
      </c>
      <c r="D67" s="33" t="s">
        <v>184</v>
      </c>
      <c r="E67" s="8" t="s">
        <v>185</v>
      </c>
    </row>
    <row r="68" customFormat="false" ht="15" hidden="false" customHeight="false" outlineLevel="0" collapsed="false">
      <c r="A68" s="5"/>
      <c r="B68" s="7" t="s">
        <v>186</v>
      </c>
      <c r="C68" s="32" t="n">
        <v>20</v>
      </c>
      <c r="D68" s="33" t="s">
        <v>184</v>
      </c>
      <c r="E68" s="8" t="s">
        <v>187</v>
      </c>
    </row>
    <row r="69" customFormat="false" ht="15" hidden="false" customHeight="false" outlineLevel="0" collapsed="false">
      <c r="A69" s="5"/>
      <c r="B69" s="7" t="s">
        <v>188</v>
      </c>
      <c r="C69" s="32" t="n">
        <v>35</v>
      </c>
      <c r="D69" s="33" t="s">
        <v>184</v>
      </c>
      <c r="E69" s="8" t="s">
        <v>189</v>
      </c>
    </row>
    <row r="70" customFormat="false" ht="15" hidden="false" customHeight="false" outlineLevel="0" collapsed="false">
      <c r="A70" s="5"/>
      <c r="B70" s="15" t="s">
        <v>190</v>
      </c>
      <c r="C70" s="16"/>
      <c r="D70" s="16"/>
      <c r="E70" s="16"/>
    </row>
    <row r="71" customFormat="false" ht="15" hidden="false" customHeight="false" outlineLevel="0" collapsed="false">
      <c r="A71" s="5"/>
      <c r="B71" s="7" t="s">
        <v>191</v>
      </c>
      <c r="C71" s="36" t="n">
        <v>8</v>
      </c>
      <c r="D71" s="33" t="s">
        <v>192</v>
      </c>
      <c r="E71" s="8" t="s">
        <v>193</v>
      </c>
    </row>
    <row r="72" customFormat="false" ht="15" hidden="false" customHeight="false" outlineLevel="0" collapsed="false">
      <c r="A72" s="5"/>
      <c r="B72" s="7" t="s">
        <v>194</v>
      </c>
      <c r="C72" s="34" t="n">
        <v>0.1</v>
      </c>
      <c r="D72" s="33" t="s">
        <v>83</v>
      </c>
      <c r="E72" s="8" t="s">
        <v>195</v>
      </c>
    </row>
    <row r="73" customFormat="false" ht="15" hidden="false" customHeight="false" outlineLevel="0" collapsed="false">
      <c r="A73" s="5"/>
      <c r="B73" s="7" t="s">
        <v>196</v>
      </c>
      <c r="C73" s="34" t="n">
        <v>0.15</v>
      </c>
      <c r="D73" s="33" t="s">
        <v>83</v>
      </c>
      <c r="E73" s="8" t="s">
        <v>197</v>
      </c>
    </row>
    <row r="74" customFormat="false" ht="15" hidden="false" customHeight="false" outlineLevel="0" collapsed="false">
      <c r="A74" s="5"/>
      <c r="B74" s="7" t="s">
        <v>198</v>
      </c>
      <c r="C74" s="36" t="n">
        <v>2</v>
      </c>
      <c r="D74" s="33" t="s">
        <v>192</v>
      </c>
      <c r="E74" s="8" t="s">
        <v>199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200</v>
      </c>
      <c r="C2" s="5"/>
      <c r="D2" s="5"/>
      <c r="E2" s="5"/>
      <c r="F2" s="5"/>
      <c r="G2" s="5"/>
      <c r="H2" s="5"/>
      <c r="I2" s="5"/>
    </row>
    <row r="3" customFormat="false" ht="15" hidden="false" customHeight="false" outlineLevel="0" collapsed="false">
      <c r="A3" s="5"/>
      <c r="B3" s="29" t="s">
        <v>201</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203</v>
      </c>
      <c r="C8" s="16"/>
      <c r="D8" s="16"/>
      <c r="E8" s="16"/>
      <c r="F8" s="16"/>
      <c r="G8" s="16"/>
      <c r="H8" s="16"/>
      <c r="I8" s="16"/>
    </row>
    <row r="9" customFormat="false" ht="15" hidden="false" customHeight="false" outlineLevel="0" collapsed="false">
      <c r="A9" s="5"/>
      <c r="B9" s="40" t="s">
        <v>204</v>
      </c>
      <c r="C9" s="41" t="n">
        <f aca="false">IF(C6&lt;=3,CHOOSE(C6,Ramp_Yr1,Ramp_Yr2,Ramp_Yr3),B9*(1+Attendance_Growth))</f>
        <v>0.55</v>
      </c>
      <c r="D9" s="41" t="n">
        <f aca="false">IF(D6&lt;=3,CHOOSE(D6,Ramp_Yr1,Ramp_Yr2,Ramp_Yr3),C9*(1+Attendance_Growth))</f>
        <v>0.75</v>
      </c>
      <c r="E9" s="41" t="n">
        <f aca="false">IF(E6&lt;=3,CHOOSE(E6,Ramp_Yr1,Ramp_Yr2,Ramp_Yr3),D9*(1+Attendance_Growth))</f>
        <v>0.9</v>
      </c>
      <c r="F9" s="41" t="n">
        <f aca="false">IF(F6&lt;=3,CHOOSE(F6,Ramp_Yr1,Ramp_Yr2,Ramp_Yr3),E9*(1+Attendance_Growth))</f>
        <v>0.918</v>
      </c>
      <c r="G9" s="41" t="n">
        <f aca="false">IF(G6&lt;=3,CHOOSE(G6,Ramp_Yr1,Ramp_Yr2,Ramp_Yr3),F9*(1+Attendance_Growth))</f>
        <v>0.93636</v>
      </c>
      <c r="H9" s="41" t="n">
        <f aca="false">IF(H6&lt;=3,CHOOSE(H6,Ramp_Yr1,Ramp_Yr2,Ramp_Yr3),G9*(1+Attendance_Growth))</f>
        <v>0.9550872</v>
      </c>
      <c r="I9" s="41" t="n">
        <f aca="false">IF(I6&lt;=3,CHOOSE(I6,Ramp_Yr1,Ramp_Yr2,Ramp_Yr3),H9*(1+Attendance_Growth))</f>
        <v>0.974188944</v>
      </c>
    </row>
    <row r="10" customFormat="false" ht="15" hidden="false" customHeight="false" outlineLevel="0" collapsed="false">
      <c r="A10" s="5"/>
      <c r="B10" s="40" t="s">
        <v>205</v>
      </c>
      <c r="C10" s="38" t="n">
        <f aca="false">IF(C6&lt;=3,Stabilised_Attendance*C9,B10*(1+Attendance_Growth))</f>
        <v>660000</v>
      </c>
      <c r="D10" s="38" t="n">
        <f aca="false">IF(D6&lt;=3,Stabilised_Attendance*D9,C10*(1+Attendance_Growth))</f>
        <v>900000</v>
      </c>
      <c r="E10" s="38" t="n">
        <f aca="false">IF(E6&lt;=3,Stabilised_Attendance*E9,D10*(1+Attendance_Growth))</f>
        <v>1080000</v>
      </c>
      <c r="F10" s="38" t="n">
        <f aca="false">IF(F6&lt;=3,Stabilised_Attendance*F9,E10*(1+Attendance_Growth))</f>
        <v>1101600</v>
      </c>
      <c r="G10" s="38" t="n">
        <f aca="false">IF(G6&lt;=3,Stabilised_Attendance*G9,F10*(1+Attendance_Growth))</f>
        <v>1123632</v>
      </c>
      <c r="H10" s="38" t="n">
        <f aca="false">IF(H6&lt;=3,Stabilised_Attendance*H9,G10*(1+Attendance_Growth))</f>
        <v>1146104.64</v>
      </c>
      <c r="I10" s="38" t="n">
        <f aca="false">IF(I6&lt;=3,Stabilised_Attendance*I9,H10*(1+Attendance_Growth))</f>
        <v>1169026.7328</v>
      </c>
    </row>
    <row r="11" customFormat="false" ht="15" hidden="false" customHeight="false" outlineLevel="0" collapsed="false">
      <c r="A11" s="5"/>
      <c r="B11" s="40" t="s">
        <v>206</v>
      </c>
      <c r="C11" s="38" t="n">
        <f aca="false">Max_Daily_Capacity*Operating_Days</f>
        <v>2000000</v>
      </c>
      <c r="D11" s="38" t="n">
        <f aca="false">Max_Daily_Capacity*Operating_Days</f>
        <v>2000000</v>
      </c>
      <c r="E11" s="38" t="n">
        <f aca="false">Max_Daily_Capacity*Operating_Days</f>
        <v>2000000</v>
      </c>
      <c r="F11" s="38" t="n">
        <f aca="false">Max_Daily_Capacity*Operating_Days</f>
        <v>2000000</v>
      </c>
      <c r="G11" s="38" t="n">
        <f aca="false">Max_Daily_Capacity*Operating_Days</f>
        <v>2000000</v>
      </c>
      <c r="H11" s="38" t="n">
        <f aca="false">Max_Daily_Capacity*Operating_Days</f>
        <v>2000000</v>
      </c>
      <c r="I11" s="38" t="n">
        <f aca="false">Max_Daily_Capacity*Operating_Days</f>
        <v>2000000</v>
      </c>
    </row>
    <row r="12" customFormat="false" ht="15" hidden="false" customHeight="false" outlineLevel="0" collapsed="false">
      <c r="A12" s="5"/>
      <c r="B12" s="42" t="s">
        <v>207</v>
      </c>
      <c r="C12" s="43" t="n">
        <f aca="false">MIN(C10,C11)</f>
        <v>660000</v>
      </c>
      <c r="D12" s="43" t="n">
        <f aca="false">MIN(D10,D11)</f>
        <v>900000</v>
      </c>
      <c r="E12" s="43" t="n">
        <f aca="false">MIN(E10,E11)</f>
        <v>1080000</v>
      </c>
      <c r="F12" s="43" t="n">
        <f aca="false">MIN(F10,F11)</f>
        <v>1101600</v>
      </c>
      <c r="G12" s="43" t="n">
        <f aca="false">MIN(G10,G11)</f>
        <v>1123632</v>
      </c>
      <c r="H12" s="43" t="n">
        <f aca="false">MIN(H10,H11)</f>
        <v>1146104.64</v>
      </c>
      <c r="I12" s="43" t="n">
        <f aca="false">MIN(I10,I11)</f>
        <v>1169026.7328</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9" t="s">
        <v>208</v>
      </c>
      <c r="C14" s="16"/>
      <c r="D14" s="16"/>
      <c r="E14" s="16"/>
      <c r="F14" s="16"/>
      <c r="G14" s="16"/>
      <c r="H14" s="16"/>
      <c r="I14" s="16"/>
    </row>
    <row r="15" customFormat="false" ht="15" hidden="false" customHeight="false" outlineLevel="0" collapsed="false">
      <c r="A15" s="5"/>
      <c r="B15" s="40" t="s">
        <v>209</v>
      </c>
      <c r="C15" s="44" t="n">
        <f aca="false">Avg_Admission_Price*(1+Admission_Escalation)^(C6-1)</f>
        <v>65</v>
      </c>
      <c r="D15" s="44" t="n">
        <f aca="false">Avg_Admission_Price*(1+Admission_Escalation)^(D6-1)</f>
        <v>67.275</v>
      </c>
      <c r="E15" s="44" t="n">
        <f aca="false">Avg_Admission_Price*(1+Admission_Escalation)^(E6-1)</f>
        <v>69.629625</v>
      </c>
      <c r="F15" s="44" t="n">
        <f aca="false">Avg_Admission_Price*(1+Admission_Escalation)^(F6-1)</f>
        <v>72.066661875</v>
      </c>
      <c r="G15" s="44" t="n">
        <f aca="false">Avg_Admission_Price*(1+Admission_Escalation)^(G6-1)</f>
        <v>74.588995040625</v>
      </c>
      <c r="H15" s="44" t="n">
        <f aca="false">Avg_Admission_Price*(1+Admission_Escalation)^(H6-1)</f>
        <v>77.1996098670469</v>
      </c>
      <c r="I15" s="44" t="n">
        <f aca="false">Avg_Admission_Price*(1+Admission_Escalation)^(I6-1)</f>
        <v>79.9015962123935</v>
      </c>
    </row>
    <row r="16" customFormat="false" ht="15" hidden="false" customHeight="false" outlineLevel="0" collapsed="false">
      <c r="A16" s="5"/>
      <c r="B16" s="40" t="s">
        <v>210</v>
      </c>
      <c r="C16" s="38" t="n">
        <f aca="false">C12*C15</f>
        <v>42900000</v>
      </c>
      <c r="D16" s="38" t="n">
        <f aca="false">D12*D15</f>
        <v>60547500</v>
      </c>
      <c r="E16" s="38" t="n">
        <f aca="false">E12*E15</f>
        <v>75199995</v>
      </c>
      <c r="F16" s="38" t="n">
        <f aca="false">F12*F15</f>
        <v>79388634.7215</v>
      </c>
      <c r="G16" s="38" t="n">
        <f aca="false">G12*G15</f>
        <v>83810581.6754875</v>
      </c>
      <c r="H16" s="38" t="n">
        <f aca="false">H12*H15</f>
        <v>88478831.0748122</v>
      </c>
      <c r="I16" s="38" t="n">
        <f aca="false">I12*I15</f>
        <v>93407101.9656792</v>
      </c>
    </row>
    <row r="17" customFormat="false" ht="15" hidden="false" customHeight="false" outlineLevel="0" collapsed="false">
      <c r="A17" s="5"/>
      <c r="B17" s="40" t="s">
        <v>211</v>
      </c>
      <c r="C17" s="38" t="n">
        <f aca="false">C12*FB_Penetration</f>
        <v>462000</v>
      </c>
      <c r="D17" s="38" t="n">
        <f aca="false">D12*FB_Penetration</f>
        <v>630000</v>
      </c>
      <c r="E17" s="38" t="n">
        <f aca="false">E12*FB_Penetration</f>
        <v>756000</v>
      </c>
      <c r="F17" s="38" t="n">
        <f aca="false">F12*FB_Penetration</f>
        <v>771120</v>
      </c>
      <c r="G17" s="38" t="n">
        <f aca="false">G12*FB_Penetration</f>
        <v>786542.4</v>
      </c>
      <c r="H17" s="38" t="n">
        <f aca="false">H12*FB_Penetration</f>
        <v>802273.248</v>
      </c>
      <c r="I17" s="38" t="n">
        <f aca="false">I12*FB_Penetration</f>
        <v>818318.71296</v>
      </c>
    </row>
    <row r="18" customFormat="false" ht="15" hidden="false" customHeight="false" outlineLevel="0" collapsed="false">
      <c r="A18" s="5"/>
      <c r="B18" s="40" t="s">
        <v>212</v>
      </c>
      <c r="C18" s="44" t="n">
        <f aca="false">Avg_FB_Spend*(1+Cost_Escalation)^(C6-1)</f>
        <v>22</v>
      </c>
      <c r="D18" s="44" t="n">
        <f aca="false">Avg_FB_Spend*(1+Cost_Escalation)^(D6-1)</f>
        <v>22.55</v>
      </c>
      <c r="E18" s="44" t="n">
        <f aca="false">Avg_FB_Spend*(1+Cost_Escalation)^(E6-1)</f>
        <v>23.11375</v>
      </c>
      <c r="F18" s="44" t="n">
        <f aca="false">Avg_FB_Spend*(1+Cost_Escalation)^(F6-1)</f>
        <v>23.69159375</v>
      </c>
      <c r="G18" s="44" t="n">
        <f aca="false">Avg_FB_Spend*(1+Cost_Escalation)^(G6-1)</f>
        <v>24.28388359375</v>
      </c>
      <c r="H18" s="44" t="n">
        <f aca="false">Avg_FB_Spend*(1+Cost_Escalation)^(H6-1)</f>
        <v>24.8909806835937</v>
      </c>
      <c r="I18" s="44" t="n">
        <f aca="false">Avg_FB_Spend*(1+Cost_Escalation)^(I6-1)</f>
        <v>25.5132552006836</v>
      </c>
    </row>
    <row r="19" customFormat="false" ht="15" hidden="false" customHeight="false" outlineLevel="0" collapsed="false">
      <c r="A19" s="5"/>
      <c r="B19" s="40" t="s">
        <v>213</v>
      </c>
      <c r="C19" s="38" t="n">
        <f aca="false">C17*C18</f>
        <v>10164000</v>
      </c>
      <c r="D19" s="38" t="n">
        <f aca="false">D17*D18</f>
        <v>14206500</v>
      </c>
      <c r="E19" s="38" t="n">
        <f aca="false">E17*E18</f>
        <v>17473995</v>
      </c>
      <c r="F19" s="38" t="n">
        <f aca="false">F17*F18</f>
        <v>18269061.7725</v>
      </c>
      <c r="G19" s="38" t="n">
        <f aca="false">G17*G18</f>
        <v>19100304.0831487</v>
      </c>
      <c r="H19" s="38" t="n">
        <f aca="false">H17*H18</f>
        <v>19969367.918932</v>
      </c>
      <c r="I19" s="38" t="n">
        <f aca="false">I17*I18</f>
        <v>20877974.1592434</v>
      </c>
    </row>
    <row r="20" customFormat="false" ht="15" hidden="false" customHeight="false" outlineLevel="0" collapsed="false">
      <c r="A20" s="5"/>
      <c r="B20" s="40" t="s">
        <v>214</v>
      </c>
      <c r="C20" s="38" t="n">
        <f aca="false">C12*Merch_Penetration</f>
        <v>231000</v>
      </c>
      <c r="D20" s="38" t="n">
        <f aca="false">D12*Merch_Penetration</f>
        <v>315000</v>
      </c>
      <c r="E20" s="38" t="n">
        <f aca="false">E12*Merch_Penetration</f>
        <v>378000</v>
      </c>
      <c r="F20" s="38" t="n">
        <f aca="false">F12*Merch_Penetration</f>
        <v>385560</v>
      </c>
      <c r="G20" s="38" t="n">
        <f aca="false">G12*Merch_Penetration</f>
        <v>393271.2</v>
      </c>
      <c r="H20" s="38" t="n">
        <f aca="false">H12*Merch_Penetration</f>
        <v>401136.624</v>
      </c>
      <c r="I20" s="38" t="n">
        <f aca="false">I12*Merch_Penetration</f>
        <v>409159.35648</v>
      </c>
    </row>
    <row r="21" customFormat="false" ht="15" hidden="false" customHeight="false" outlineLevel="0" collapsed="false">
      <c r="A21" s="5"/>
      <c r="B21" s="40" t="s">
        <v>215</v>
      </c>
      <c r="C21" s="44" t="n">
        <f aca="false">Avg_Merch_Spend*(1+Cost_Escalation)^(C6-1)</f>
        <v>18</v>
      </c>
      <c r="D21" s="44" t="n">
        <f aca="false">Avg_Merch_Spend*(1+Cost_Escalation)^(D6-1)</f>
        <v>18.45</v>
      </c>
      <c r="E21" s="44" t="n">
        <f aca="false">Avg_Merch_Spend*(1+Cost_Escalation)^(E6-1)</f>
        <v>18.91125</v>
      </c>
      <c r="F21" s="44" t="n">
        <f aca="false">Avg_Merch_Spend*(1+Cost_Escalation)^(F6-1)</f>
        <v>19.38403125</v>
      </c>
      <c r="G21" s="44" t="n">
        <f aca="false">Avg_Merch_Spend*(1+Cost_Escalation)^(G6-1)</f>
        <v>19.86863203125</v>
      </c>
      <c r="H21" s="44" t="n">
        <f aca="false">Avg_Merch_Spend*(1+Cost_Escalation)^(H6-1)</f>
        <v>20.3653478320312</v>
      </c>
      <c r="I21" s="44" t="n">
        <f aca="false">Avg_Merch_Spend*(1+Cost_Escalation)^(I6-1)</f>
        <v>20.874481527832</v>
      </c>
    </row>
    <row r="22" customFormat="false" ht="15" hidden="false" customHeight="false" outlineLevel="0" collapsed="false">
      <c r="A22" s="5"/>
      <c r="B22" s="40" t="s">
        <v>216</v>
      </c>
      <c r="C22" s="38" t="n">
        <f aca="false">C20*C21</f>
        <v>4158000</v>
      </c>
      <c r="D22" s="38" t="n">
        <f aca="false">D20*D21</f>
        <v>5811750</v>
      </c>
      <c r="E22" s="38" t="n">
        <f aca="false">E20*E21</f>
        <v>7148452.5</v>
      </c>
      <c r="F22" s="38" t="n">
        <f aca="false">F20*F21</f>
        <v>7473707.08875</v>
      </c>
      <c r="G22" s="38" t="n">
        <f aca="false">G20*G21</f>
        <v>7813760.76128812</v>
      </c>
      <c r="H22" s="38" t="n">
        <f aca="false">H20*H21</f>
        <v>8169286.87592673</v>
      </c>
      <c r="I22" s="38" t="n">
        <f aca="false">I20*I21</f>
        <v>8540989.4287814</v>
      </c>
    </row>
    <row r="23" customFormat="false" ht="15" hidden="false" customHeight="false" outlineLevel="0" collapsed="false">
      <c r="A23" s="5"/>
      <c r="B23" s="40" t="s">
        <v>217</v>
      </c>
      <c r="C23" s="38" t="n">
        <f aca="false">C12*Premium_Attach</f>
        <v>132000</v>
      </c>
      <c r="D23" s="38" t="n">
        <f aca="false">D12*Premium_Attach</f>
        <v>180000</v>
      </c>
      <c r="E23" s="38" t="n">
        <f aca="false">E12*Premium_Attach</f>
        <v>216000</v>
      </c>
      <c r="F23" s="38" t="n">
        <f aca="false">F12*Premium_Attach</f>
        <v>220320</v>
      </c>
      <c r="G23" s="38" t="n">
        <f aca="false">G12*Premium_Attach</f>
        <v>224726.4</v>
      </c>
      <c r="H23" s="38" t="n">
        <f aca="false">H12*Premium_Attach</f>
        <v>229220.928</v>
      </c>
      <c r="I23" s="38" t="n">
        <f aca="false">I12*Premium_Attach</f>
        <v>233805.34656</v>
      </c>
    </row>
    <row r="24" customFormat="false" ht="15" hidden="false" customHeight="false" outlineLevel="0" collapsed="false">
      <c r="A24" s="5"/>
      <c r="B24" s="40" t="s">
        <v>218</v>
      </c>
      <c r="C24" s="44" t="n">
        <f aca="false">Avg_Premium_Spend*(1+Cost_Escalation)^(C6-1)</f>
        <v>35</v>
      </c>
      <c r="D24" s="44" t="n">
        <f aca="false">Avg_Premium_Spend*(1+Cost_Escalation)^(D6-1)</f>
        <v>35.875</v>
      </c>
      <c r="E24" s="44" t="n">
        <f aca="false">Avg_Premium_Spend*(1+Cost_Escalation)^(E6-1)</f>
        <v>36.771875</v>
      </c>
      <c r="F24" s="44" t="n">
        <f aca="false">Avg_Premium_Spend*(1+Cost_Escalation)^(F6-1)</f>
        <v>37.691171875</v>
      </c>
      <c r="G24" s="44" t="n">
        <f aca="false">Avg_Premium_Spend*(1+Cost_Escalation)^(G6-1)</f>
        <v>38.633451171875</v>
      </c>
      <c r="H24" s="44" t="n">
        <f aca="false">Avg_Premium_Spend*(1+Cost_Escalation)^(H6-1)</f>
        <v>39.5992874511719</v>
      </c>
      <c r="I24" s="44" t="n">
        <f aca="false">Avg_Premium_Spend*(1+Cost_Escalation)^(I6-1)</f>
        <v>40.5892696374511</v>
      </c>
    </row>
    <row r="25" customFormat="false" ht="15" hidden="false" customHeight="false" outlineLevel="0" collapsed="false">
      <c r="A25" s="5"/>
      <c r="B25" s="40" t="s">
        <v>219</v>
      </c>
      <c r="C25" s="38" t="n">
        <f aca="false">C23*C24</f>
        <v>4620000</v>
      </c>
      <c r="D25" s="38" t="n">
        <f aca="false">D23*D24</f>
        <v>6457500</v>
      </c>
      <c r="E25" s="38" t="n">
        <f aca="false">E23*E24</f>
        <v>7942725</v>
      </c>
      <c r="F25" s="38" t="n">
        <f aca="false">F23*F24</f>
        <v>8304118.9875</v>
      </c>
      <c r="G25" s="38" t="n">
        <f aca="false">G23*G24</f>
        <v>8681956.40143125</v>
      </c>
      <c r="H25" s="38" t="n">
        <f aca="false">H23*H24</f>
        <v>9076985.41769637</v>
      </c>
      <c r="I25" s="38" t="n">
        <f aca="false">I23*I24</f>
        <v>9489988.25420155</v>
      </c>
    </row>
    <row r="26" customFormat="false" ht="15" hidden="false" customHeight="false" outlineLevel="0" collapsed="false">
      <c r="A26" s="5"/>
      <c r="B26" s="40" t="s">
        <v>220</v>
      </c>
      <c r="C26" s="38" t="n">
        <f aca="false">C12*Games_Penetration</f>
        <v>165000</v>
      </c>
      <c r="D26" s="38" t="n">
        <f aca="false">D12*Games_Penetration</f>
        <v>225000</v>
      </c>
      <c r="E26" s="38" t="n">
        <f aca="false">E12*Games_Penetration</f>
        <v>270000</v>
      </c>
      <c r="F26" s="38" t="n">
        <f aca="false">F12*Games_Penetration</f>
        <v>275400</v>
      </c>
      <c r="G26" s="38" t="n">
        <f aca="false">G12*Games_Penetration</f>
        <v>280908</v>
      </c>
      <c r="H26" s="38" t="n">
        <f aca="false">H12*Games_Penetration</f>
        <v>286526.16</v>
      </c>
      <c r="I26" s="38" t="n">
        <f aca="false">I12*Games_Penetration</f>
        <v>292256.6832</v>
      </c>
    </row>
    <row r="27" customFormat="false" ht="15" hidden="false" customHeight="false" outlineLevel="0" collapsed="false">
      <c r="A27" s="5"/>
      <c r="B27" s="40" t="s">
        <v>221</v>
      </c>
      <c r="C27" s="44" t="n">
        <f aca="false">Avg_Games_Spend*(1+Cost_Escalation)^(C6-1)</f>
        <v>10</v>
      </c>
      <c r="D27" s="44" t="n">
        <f aca="false">Avg_Games_Spend*(1+Cost_Escalation)^(D6-1)</f>
        <v>10.25</v>
      </c>
      <c r="E27" s="44" t="n">
        <f aca="false">Avg_Games_Spend*(1+Cost_Escalation)^(E6-1)</f>
        <v>10.50625</v>
      </c>
      <c r="F27" s="44" t="n">
        <f aca="false">Avg_Games_Spend*(1+Cost_Escalation)^(F6-1)</f>
        <v>10.76890625</v>
      </c>
      <c r="G27" s="44" t="n">
        <f aca="false">Avg_Games_Spend*(1+Cost_Escalation)^(G6-1)</f>
        <v>11.03812890625</v>
      </c>
      <c r="H27" s="44" t="n">
        <f aca="false">Avg_Games_Spend*(1+Cost_Escalation)^(H6-1)</f>
        <v>11.3140821289062</v>
      </c>
      <c r="I27" s="44" t="n">
        <f aca="false">Avg_Games_Spend*(1+Cost_Escalation)^(I6-1)</f>
        <v>11.5969341821289</v>
      </c>
    </row>
    <row r="28" customFormat="false" ht="15" hidden="false" customHeight="false" outlineLevel="0" collapsed="false">
      <c r="A28" s="5"/>
      <c r="B28" s="40" t="s">
        <v>222</v>
      </c>
      <c r="C28" s="38" t="n">
        <f aca="false">C26*C27</f>
        <v>1650000</v>
      </c>
      <c r="D28" s="38" t="n">
        <f aca="false">D26*D27</f>
        <v>2306250</v>
      </c>
      <c r="E28" s="38" t="n">
        <f aca="false">E26*E27</f>
        <v>2836687.5</v>
      </c>
      <c r="F28" s="38" t="n">
        <f aca="false">F26*F27</f>
        <v>2965756.78125</v>
      </c>
      <c r="G28" s="38" t="n">
        <f aca="false">G26*G27</f>
        <v>3100698.71479687</v>
      </c>
      <c r="H28" s="38" t="n">
        <f aca="false">H26*H27</f>
        <v>3241780.50632013</v>
      </c>
      <c r="I28" s="38" t="n">
        <f aca="false">I26*I27</f>
        <v>3389281.5193577</v>
      </c>
    </row>
    <row r="29" customFormat="false" ht="15" hidden="false" customHeight="false" outlineLevel="0" collapsed="false">
      <c r="A29" s="5"/>
      <c r="B29" s="5"/>
      <c r="C29" s="5"/>
      <c r="D29" s="5"/>
      <c r="E29" s="5"/>
      <c r="F29" s="5"/>
      <c r="G29" s="5"/>
      <c r="H29" s="5"/>
      <c r="I29" s="5"/>
    </row>
    <row r="30" customFormat="false" ht="15" hidden="false" customHeight="false" outlineLevel="0" collapsed="false">
      <c r="A30" s="5"/>
      <c r="B30" s="45" t="s">
        <v>223</v>
      </c>
      <c r="C30" s="46" t="n">
        <f aca="false">C16+C19+C22+C25+C28</f>
        <v>63492000</v>
      </c>
      <c r="D30" s="46" t="n">
        <f aca="false">D16+D19+D22+D25+D28</f>
        <v>89329500</v>
      </c>
      <c r="E30" s="46" t="n">
        <f aca="false">E16+E19+E22+E25+E28</f>
        <v>110601855</v>
      </c>
      <c r="F30" s="46" t="n">
        <f aca="false">F16+F19+F22+F25+F28</f>
        <v>116401279.3515</v>
      </c>
      <c r="G30" s="46" t="n">
        <f aca="false">G16+G19+G22+G25+G28</f>
        <v>122507301.636153</v>
      </c>
      <c r="H30" s="46" t="n">
        <f aca="false">H16+H19+H22+H25+H28</f>
        <v>128936251.793687</v>
      </c>
      <c r="I30" s="46" t="n">
        <f aca="false">I16+I19+I22+I25+I28</f>
        <v>135705335.327263</v>
      </c>
    </row>
    <row r="31" customFormat="false" ht="15" hidden="false" customHeight="false" outlineLevel="0" collapsed="false">
      <c r="A31" s="5"/>
      <c r="B31" s="7" t="s">
        <v>224</v>
      </c>
      <c r="C31" s="44" t="n">
        <f aca="false">IFERROR(C30/C12,0)</f>
        <v>96.2</v>
      </c>
      <c r="D31" s="44" t="n">
        <f aca="false">IFERROR(D30/D12,0)</f>
        <v>99.255</v>
      </c>
      <c r="E31" s="44" t="n">
        <f aca="false">IFERROR(E30/E12,0)</f>
        <v>102.409125</v>
      </c>
      <c r="F31" s="44" t="n">
        <f aca="false">IFERROR(F30/F12,0)</f>
        <v>105.665649375</v>
      </c>
      <c r="G31" s="44" t="n">
        <f aca="false">IFERROR(G30/G12,0)</f>
        <v>109.027957228125</v>
      </c>
      <c r="H31" s="44" t="n">
        <f aca="false">IFERROR(H30/H12,0)</f>
        <v>112.499546109234</v>
      </c>
      <c r="I31" s="44" t="n">
        <f aca="false">IFERROR(I30/I12,0)</f>
        <v>116.084030860636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225</v>
      </c>
      <c r="C2" s="5"/>
      <c r="D2" s="5"/>
      <c r="E2" s="5"/>
      <c r="F2" s="5"/>
      <c r="G2" s="5"/>
      <c r="H2" s="5"/>
      <c r="I2" s="5"/>
    </row>
    <row r="3" customFormat="false" ht="15" hidden="false" customHeight="false" outlineLevel="0" collapsed="false">
      <c r="A3" s="5"/>
      <c r="B3" s="29" t="s">
        <v>226</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113</v>
      </c>
      <c r="C8" s="16"/>
      <c r="D8" s="16"/>
      <c r="E8" s="16"/>
      <c r="F8" s="16"/>
      <c r="G8" s="16"/>
      <c r="H8" s="16"/>
      <c r="I8" s="16"/>
    </row>
    <row r="9" customFormat="false" ht="15" hidden="false" customHeight="false" outlineLevel="0" collapsed="false">
      <c r="A9" s="5"/>
      <c r="B9" s="40" t="s">
        <v>114</v>
      </c>
      <c r="C9" s="38" t="n">
        <f aca="false">Attendance_Revenue!C$19*FB_COGS_Pct</f>
        <v>3049200</v>
      </c>
      <c r="D9" s="38" t="n">
        <f aca="false">Attendance_Revenue!D$19*FB_COGS_Pct</f>
        <v>4261950</v>
      </c>
      <c r="E9" s="38" t="n">
        <f aca="false">Attendance_Revenue!E$19*FB_COGS_Pct</f>
        <v>5242198.5</v>
      </c>
      <c r="F9" s="38" t="n">
        <f aca="false">Attendance_Revenue!F$19*FB_COGS_Pct</f>
        <v>5480718.53175</v>
      </c>
      <c r="G9" s="38" t="n">
        <f aca="false">Attendance_Revenue!G$19*FB_COGS_Pct</f>
        <v>5730091.22494462</v>
      </c>
      <c r="H9" s="38" t="n">
        <f aca="false">Attendance_Revenue!H$19*FB_COGS_Pct</f>
        <v>5990810.3756796</v>
      </c>
      <c r="I9" s="38" t="n">
        <f aca="false">Attendance_Revenue!I$19*FB_COGS_Pct</f>
        <v>6263392.24777302</v>
      </c>
    </row>
    <row r="10" customFormat="false" ht="15" hidden="false" customHeight="false" outlineLevel="0" collapsed="false">
      <c r="A10" s="5"/>
      <c r="B10" s="40" t="s">
        <v>116</v>
      </c>
      <c r="C10" s="38" t="n">
        <f aca="false">Attendance_Revenue!C$22*Merch_COGS_Pct</f>
        <v>1871100</v>
      </c>
      <c r="D10" s="38" t="n">
        <f aca="false">Attendance_Revenue!D$22*Merch_COGS_Pct</f>
        <v>2615287.5</v>
      </c>
      <c r="E10" s="38" t="n">
        <f aca="false">Attendance_Revenue!E$22*Merch_COGS_Pct</f>
        <v>3216803.625</v>
      </c>
      <c r="F10" s="38" t="n">
        <f aca="false">Attendance_Revenue!F$22*Merch_COGS_Pct</f>
        <v>3363168.1899375</v>
      </c>
      <c r="G10" s="38" t="n">
        <f aca="false">Attendance_Revenue!G$22*Merch_COGS_Pct</f>
        <v>3516192.34257965</v>
      </c>
      <c r="H10" s="38" t="n">
        <f aca="false">Attendance_Revenue!H$22*Merch_COGS_Pct</f>
        <v>3676179.09416703</v>
      </c>
      <c r="I10" s="38" t="n">
        <f aca="false">Attendance_Revenue!I$22*Merch_COGS_Pct</f>
        <v>3843445.24295163</v>
      </c>
    </row>
    <row r="11" customFormat="false" ht="15" hidden="false" customHeight="false" outlineLevel="0" collapsed="false">
      <c r="A11" s="5"/>
      <c r="B11" s="40" t="s">
        <v>118</v>
      </c>
      <c r="C11" s="38" t="n">
        <f aca="false">Attendance_Revenue!C$28*Games_COGS_Pct</f>
        <v>297000</v>
      </c>
      <c r="D11" s="38" t="n">
        <f aca="false">Attendance_Revenue!D$28*Games_COGS_Pct</f>
        <v>415125</v>
      </c>
      <c r="E11" s="38" t="n">
        <f aca="false">Attendance_Revenue!E$28*Games_COGS_Pct</f>
        <v>510603.75</v>
      </c>
      <c r="F11" s="38" t="n">
        <f aca="false">Attendance_Revenue!F$28*Games_COGS_Pct</f>
        <v>533836.220625</v>
      </c>
      <c r="G11" s="38" t="n">
        <f aca="false">Attendance_Revenue!G$28*Games_COGS_Pct</f>
        <v>558125.768663437</v>
      </c>
      <c r="H11" s="38" t="n">
        <f aca="false">Attendance_Revenue!H$28*Games_COGS_Pct</f>
        <v>583520.491137624</v>
      </c>
      <c r="I11" s="38" t="n">
        <f aca="false">Attendance_Revenue!I$28*Games_COGS_Pct</f>
        <v>610070.673484386</v>
      </c>
    </row>
    <row r="12" customFormat="false" ht="15" hidden="false" customHeight="false" outlineLevel="0" collapsed="false">
      <c r="A12" s="5"/>
      <c r="B12" s="42" t="s">
        <v>227</v>
      </c>
      <c r="C12" s="43" t="n">
        <f aca="false">C9+C10+C11</f>
        <v>5217300</v>
      </c>
      <c r="D12" s="43" t="n">
        <f aca="false">D9+D10+D11</f>
        <v>7292362.5</v>
      </c>
      <c r="E12" s="43" t="n">
        <f aca="false">E9+E10+E11</f>
        <v>8969605.875</v>
      </c>
      <c r="F12" s="43" t="n">
        <f aca="false">F9+F10+F11</f>
        <v>9377722.9423125</v>
      </c>
      <c r="G12" s="43" t="n">
        <f aca="false">G9+G10+G11</f>
        <v>9804409.33618772</v>
      </c>
      <c r="H12" s="43" t="n">
        <f aca="false">H9+H10+H11</f>
        <v>10250509.9609843</v>
      </c>
      <c r="I12" s="43" t="n">
        <f aca="false">I9+I10+I11</f>
        <v>10716908.164209</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9" t="s">
        <v>228</v>
      </c>
      <c r="C14" s="16"/>
      <c r="D14" s="16"/>
      <c r="E14" s="16"/>
      <c r="F14" s="16"/>
      <c r="G14" s="16"/>
      <c r="H14" s="16"/>
      <c r="I14" s="16"/>
    </row>
    <row r="15" customFormat="false" ht="15" hidden="false" customHeight="false" outlineLevel="0" collapsed="false">
      <c r="A15" s="5"/>
      <c r="B15" s="42" t="s">
        <v>228</v>
      </c>
      <c r="C15" s="43" t="n">
        <f aca="false">Attendance_Revenue!C$30-C12</f>
        <v>58274700</v>
      </c>
      <c r="D15" s="43" t="n">
        <f aca="false">Attendance_Revenue!D$30-D12</f>
        <v>82037137.5</v>
      </c>
      <c r="E15" s="43" t="n">
        <f aca="false">Attendance_Revenue!E$30-E12</f>
        <v>101632249.125</v>
      </c>
      <c r="F15" s="43" t="n">
        <f aca="false">Attendance_Revenue!F$30-F12</f>
        <v>107023556.409187</v>
      </c>
      <c r="G15" s="43" t="n">
        <f aca="false">Attendance_Revenue!G$30-G12</f>
        <v>112702892.299965</v>
      </c>
      <c r="H15" s="43" t="n">
        <f aca="false">Attendance_Revenue!H$30-H12</f>
        <v>118685741.832703</v>
      </c>
      <c r="I15" s="43" t="n">
        <f aca="false">Attendance_Revenue!I$30-I12</f>
        <v>124988427.163054</v>
      </c>
    </row>
    <row r="16" customFormat="false" ht="15" hidden="false" customHeight="false" outlineLevel="0" collapsed="false">
      <c r="A16" s="5"/>
      <c r="B16" s="7" t="s">
        <v>229</v>
      </c>
      <c r="C16" s="41" t="n">
        <f aca="false">IFERROR(C15/Attendance_Revenue!C$30,0)</f>
        <v>0.917827442827443</v>
      </c>
      <c r="D16" s="41" t="n">
        <f aca="false">IFERROR(D15/Attendance_Revenue!D$30,0)</f>
        <v>0.918365573522744</v>
      </c>
      <c r="E16" s="41" t="n">
        <f aca="false">IFERROR(E15/Attendance_Revenue!E$30,0)</f>
        <v>0.918901849566628</v>
      </c>
      <c r="F16" s="41" t="n">
        <f aca="false">IFERROR(F15/Attendance_Revenue!F$30,0)</f>
        <v>0.919436255386899</v>
      </c>
      <c r="G16" s="41" t="n">
        <f aca="false">IFERROR(G15/Attendance_Revenue!G$30,0)</f>
        <v>0.919968775695453</v>
      </c>
      <c r="H16" s="41" t="n">
        <f aca="false">IFERROR(H15/Attendance_Revenue!H$30,0)</f>
        <v>0.920499395488972</v>
      </c>
      <c r="I16" s="41" t="n">
        <f aca="false">IFERROR(I15/Attendance_Revenue!I$30,0)</f>
        <v>0.921028100049534</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39" t="s">
        <v>230</v>
      </c>
      <c r="C18" s="16"/>
      <c r="D18" s="16"/>
      <c r="E18" s="16"/>
      <c r="F18" s="16"/>
      <c r="G18" s="16"/>
      <c r="H18" s="16"/>
      <c r="I18" s="16"/>
    </row>
    <row r="19" customFormat="false" ht="15" hidden="false" customHeight="false" outlineLevel="0" collapsed="false">
      <c r="A19" s="5"/>
      <c r="B19" s="40" t="s">
        <v>231</v>
      </c>
      <c r="C19" s="38" t="n">
        <f aca="false">Salaried_Headcount*Avg_Salary*(1+Wage_Escalation)^(C6-1)</f>
        <v>4400000</v>
      </c>
      <c r="D19" s="38" t="n">
        <f aca="false">Salaried_Headcount*Avg_Salary*(1+Wage_Escalation)^(D6-1)</f>
        <v>4532000</v>
      </c>
      <c r="E19" s="38" t="n">
        <f aca="false">Salaried_Headcount*Avg_Salary*(1+Wage_Escalation)^(E6-1)</f>
        <v>4667960</v>
      </c>
      <c r="F19" s="38" t="n">
        <f aca="false">Salaried_Headcount*Avg_Salary*(1+Wage_Escalation)^(F6-1)</f>
        <v>4807998.8</v>
      </c>
      <c r="G19" s="38" t="n">
        <f aca="false">Salaried_Headcount*Avg_Salary*(1+Wage_Escalation)^(G6-1)</f>
        <v>4952238.764</v>
      </c>
      <c r="H19" s="38" t="n">
        <f aca="false">Salaried_Headcount*Avg_Salary*(1+Wage_Escalation)^(H6-1)</f>
        <v>5100805.92692</v>
      </c>
      <c r="I19" s="38" t="n">
        <f aca="false">Salaried_Headcount*Avg_Salary*(1+Wage_Escalation)^(I6-1)</f>
        <v>5253830.1047276</v>
      </c>
    </row>
    <row r="20" customFormat="false" ht="15" hidden="false" customHeight="false" outlineLevel="0" collapsed="false">
      <c r="A20" s="5"/>
      <c r="B20" s="40" t="s">
        <v>232</v>
      </c>
      <c r="C20" s="38" t="n">
        <f aca="false">Seasonal_Staff*Seasonal_Hourly*(1+Wage_Escalation)^(C6-1)*Seasonal_Weeks*Hours_Per_Week</f>
        <v>10080000</v>
      </c>
      <c r="D20" s="38" t="n">
        <f aca="false">Seasonal_Staff*Seasonal_Hourly*(1+Wage_Escalation)^(D6-1)*Seasonal_Weeks*Hours_Per_Week</f>
        <v>10382400</v>
      </c>
      <c r="E20" s="38" t="n">
        <f aca="false">Seasonal_Staff*Seasonal_Hourly*(1+Wage_Escalation)^(E6-1)*Seasonal_Weeks*Hours_Per_Week</f>
        <v>10693872</v>
      </c>
      <c r="F20" s="38" t="n">
        <f aca="false">Seasonal_Staff*Seasonal_Hourly*(1+Wage_Escalation)^(F6-1)*Seasonal_Weeks*Hours_Per_Week</f>
        <v>11014688.16</v>
      </c>
      <c r="G20" s="38" t="n">
        <f aca="false">Seasonal_Staff*Seasonal_Hourly*(1+Wage_Escalation)^(G6-1)*Seasonal_Weeks*Hours_Per_Week</f>
        <v>11345128.8048</v>
      </c>
      <c r="H20" s="38" t="n">
        <f aca="false">Seasonal_Staff*Seasonal_Hourly*(1+Wage_Escalation)^(H6-1)*Seasonal_Weeks*Hours_Per_Week</f>
        <v>11685482.668944</v>
      </c>
      <c r="I20" s="38" t="n">
        <f aca="false">Seasonal_Staff*Seasonal_Hourly*(1+Wage_Escalation)^(I6-1)*Seasonal_Weeks*Hours_Per_Week</f>
        <v>12036047.1490123</v>
      </c>
    </row>
    <row r="21" customFormat="false" ht="15" hidden="false" customHeight="false" outlineLevel="0" collapsed="false">
      <c r="A21" s="5"/>
      <c r="B21" s="40" t="s">
        <v>127</v>
      </c>
      <c r="C21" s="38" t="n">
        <f aca="false">(C19+C20)*Payroll_Burden</f>
        <v>2896000</v>
      </c>
      <c r="D21" s="38" t="n">
        <f aca="false">(D19+D20)*Payroll_Burden</f>
        <v>2982880</v>
      </c>
      <c r="E21" s="38" t="n">
        <f aca="false">(E19+E20)*Payroll_Burden</f>
        <v>3072366.4</v>
      </c>
      <c r="F21" s="38" t="n">
        <f aca="false">(F19+F20)*Payroll_Burden</f>
        <v>3164537.392</v>
      </c>
      <c r="G21" s="38" t="n">
        <f aca="false">(G19+G20)*Payroll_Burden</f>
        <v>3259473.51376</v>
      </c>
      <c r="H21" s="38" t="n">
        <f aca="false">(H19+H20)*Payroll_Burden</f>
        <v>3357257.7191728</v>
      </c>
      <c r="I21" s="38" t="n">
        <f aca="false">(I19+I20)*Payroll_Burden</f>
        <v>3457975.45074798</v>
      </c>
    </row>
    <row r="22" customFormat="false" ht="15" hidden="false" customHeight="false" outlineLevel="0" collapsed="false">
      <c r="A22" s="5"/>
      <c r="B22" s="42" t="s">
        <v>233</v>
      </c>
      <c r="C22" s="43" t="n">
        <f aca="false">C19+C20+C21</f>
        <v>17376000</v>
      </c>
      <c r="D22" s="43" t="n">
        <f aca="false">D19+D20+D21</f>
        <v>17897280</v>
      </c>
      <c r="E22" s="43" t="n">
        <f aca="false">E19+E20+E21</f>
        <v>18434198.4</v>
      </c>
      <c r="F22" s="43" t="n">
        <f aca="false">F19+F20+F21</f>
        <v>18987224.352</v>
      </c>
      <c r="G22" s="43" t="n">
        <f aca="false">G19+G20+G21</f>
        <v>19556841.08256</v>
      </c>
      <c r="H22" s="43" t="n">
        <f aca="false">H19+H20+H21</f>
        <v>20143546.3150368</v>
      </c>
      <c r="I22" s="43" t="n">
        <f aca="false">I19+I20+I21</f>
        <v>20747852.7044879</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39" t="s">
        <v>140</v>
      </c>
      <c r="C24" s="16"/>
      <c r="D24" s="16"/>
      <c r="E24" s="16"/>
      <c r="F24" s="16"/>
      <c r="G24" s="16"/>
      <c r="H24" s="16"/>
      <c r="I24" s="16"/>
    </row>
    <row r="25" customFormat="false" ht="15" hidden="false" customHeight="false" outlineLevel="0" collapsed="false">
      <c r="A25" s="5"/>
      <c r="B25" s="40" t="s">
        <v>141</v>
      </c>
      <c r="C25" s="38" t="n">
        <f aca="false">Attendance_Revenue!C$30*Utilities_Pct</f>
        <v>3809520</v>
      </c>
      <c r="D25" s="38" t="n">
        <f aca="false">Attendance_Revenue!D$30*Utilities_Pct</f>
        <v>5359770</v>
      </c>
      <c r="E25" s="38" t="n">
        <f aca="false">Attendance_Revenue!E$30*Utilities_Pct</f>
        <v>6636111.3</v>
      </c>
      <c r="F25" s="38" t="n">
        <f aca="false">Attendance_Revenue!F$30*Utilities_Pct</f>
        <v>6984076.76109</v>
      </c>
      <c r="G25" s="38" t="n">
        <f aca="false">Attendance_Revenue!G$30*Utilities_Pct</f>
        <v>7350438.09816915</v>
      </c>
      <c r="H25" s="38" t="n">
        <f aca="false">Attendance_Revenue!H$30*Utilities_Pct</f>
        <v>7736175.10762125</v>
      </c>
      <c r="I25" s="38" t="n">
        <f aca="false">Attendance_Revenue!I$30*Utilities_Pct</f>
        <v>8142320.1196358</v>
      </c>
    </row>
    <row r="26" customFormat="false" ht="15" hidden="false" customHeight="false" outlineLevel="0" collapsed="false">
      <c r="A26" s="5"/>
      <c r="B26" s="40" t="s">
        <v>143</v>
      </c>
      <c r="C26" s="38" t="n">
        <f aca="false">Attendance_Revenue!C$30*Insurance_Pct</f>
        <v>2539680</v>
      </c>
      <c r="D26" s="38" t="n">
        <f aca="false">Attendance_Revenue!D$30*Insurance_Pct</f>
        <v>3573180</v>
      </c>
      <c r="E26" s="38" t="n">
        <f aca="false">Attendance_Revenue!E$30*Insurance_Pct</f>
        <v>4424074.2</v>
      </c>
      <c r="F26" s="38" t="n">
        <f aca="false">Attendance_Revenue!F$30*Insurance_Pct</f>
        <v>4656051.17406</v>
      </c>
      <c r="G26" s="38" t="n">
        <f aca="false">Attendance_Revenue!G$30*Insurance_Pct</f>
        <v>4900292.0654461</v>
      </c>
      <c r="H26" s="38" t="n">
        <f aca="false">Attendance_Revenue!H$30*Insurance_Pct</f>
        <v>5157450.0717475</v>
      </c>
      <c r="I26" s="38" t="n">
        <f aca="false">Attendance_Revenue!I$30*Insurance_Pct</f>
        <v>5428213.41309053</v>
      </c>
    </row>
    <row r="27" customFormat="false" ht="15" hidden="false" customHeight="false" outlineLevel="0" collapsed="false">
      <c r="A27" s="5"/>
      <c r="B27" s="40" t="s">
        <v>144</v>
      </c>
      <c r="C27" s="38" t="n">
        <f aca="false">Attendance_Revenue!C$30*Marketing_Pct</f>
        <v>3809520</v>
      </c>
      <c r="D27" s="38" t="n">
        <f aca="false">Attendance_Revenue!D$30*Marketing_Pct</f>
        <v>5359770</v>
      </c>
      <c r="E27" s="38" t="n">
        <f aca="false">Attendance_Revenue!E$30*Marketing_Pct</f>
        <v>6636111.3</v>
      </c>
      <c r="F27" s="38" t="n">
        <f aca="false">Attendance_Revenue!F$30*Marketing_Pct</f>
        <v>6984076.76109</v>
      </c>
      <c r="G27" s="38" t="n">
        <f aca="false">Attendance_Revenue!G$30*Marketing_Pct</f>
        <v>7350438.09816915</v>
      </c>
      <c r="H27" s="38" t="n">
        <f aca="false">Attendance_Revenue!H$30*Marketing_Pct</f>
        <v>7736175.10762125</v>
      </c>
      <c r="I27" s="38" t="n">
        <f aca="false">Attendance_Revenue!I$30*Marketing_Pct</f>
        <v>8142320.1196358</v>
      </c>
    </row>
    <row r="28" customFormat="false" ht="15" hidden="false" customHeight="false" outlineLevel="0" collapsed="false">
      <c r="A28" s="5"/>
      <c r="B28" s="40" t="s">
        <v>145</v>
      </c>
      <c r="C28" s="38" t="n">
        <f aca="false">Attendance_Revenue!C$30*Maint_OpEx_Pct</f>
        <v>3174600</v>
      </c>
      <c r="D28" s="38" t="n">
        <f aca="false">Attendance_Revenue!D$30*Maint_OpEx_Pct</f>
        <v>4466475</v>
      </c>
      <c r="E28" s="38" t="n">
        <f aca="false">Attendance_Revenue!E$30*Maint_OpEx_Pct</f>
        <v>5530092.75</v>
      </c>
      <c r="F28" s="38" t="n">
        <f aca="false">Attendance_Revenue!F$30*Maint_OpEx_Pct</f>
        <v>5820063.967575</v>
      </c>
      <c r="G28" s="38" t="n">
        <f aca="false">Attendance_Revenue!G$30*Maint_OpEx_Pct</f>
        <v>6125365.08180763</v>
      </c>
      <c r="H28" s="38" t="n">
        <f aca="false">Attendance_Revenue!H$30*Maint_OpEx_Pct</f>
        <v>6446812.58968437</v>
      </c>
      <c r="I28" s="38" t="n">
        <f aca="false">Attendance_Revenue!I$30*Maint_OpEx_Pct</f>
        <v>6785266.76636316</v>
      </c>
    </row>
    <row r="29" customFormat="false" ht="15" hidden="false" customHeight="false" outlineLevel="0" collapsed="false">
      <c r="A29" s="5"/>
      <c r="B29" s="40" t="s">
        <v>146</v>
      </c>
      <c r="C29" s="38" t="n">
        <f aca="false">Property_Tax*(1+Cost_Escalation)^(C6-1)</f>
        <v>800000</v>
      </c>
      <c r="D29" s="38" t="n">
        <f aca="false">Property_Tax*(1+Cost_Escalation)^(D6-1)</f>
        <v>820000</v>
      </c>
      <c r="E29" s="38" t="n">
        <f aca="false">Property_Tax*(1+Cost_Escalation)^(E6-1)</f>
        <v>840500</v>
      </c>
      <c r="F29" s="38" t="n">
        <f aca="false">Property_Tax*(1+Cost_Escalation)^(F6-1)</f>
        <v>861512.5</v>
      </c>
      <c r="G29" s="38" t="n">
        <f aca="false">Property_Tax*(1+Cost_Escalation)^(G6-1)</f>
        <v>883050.3125</v>
      </c>
      <c r="H29" s="38" t="n">
        <f aca="false">Property_Tax*(1+Cost_Escalation)^(H6-1)</f>
        <v>905126.5703125</v>
      </c>
      <c r="I29" s="38" t="n">
        <f aca="false">Property_Tax*(1+Cost_Escalation)^(I6-1)</f>
        <v>927754.734570312</v>
      </c>
    </row>
    <row r="30" customFormat="false" ht="15" hidden="false" customHeight="false" outlineLevel="0" collapsed="false">
      <c r="A30" s="5"/>
      <c r="B30" s="40" t="s">
        <v>148</v>
      </c>
      <c r="C30" s="38" t="n">
        <f aca="false">Attendance_Revenue!C$30*GA_Pct</f>
        <v>3174600</v>
      </c>
      <c r="D30" s="38" t="n">
        <f aca="false">Attendance_Revenue!D$30*GA_Pct</f>
        <v>4466475</v>
      </c>
      <c r="E30" s="38" t="n">
        <f aca="false">Attendance_Revenue!E$30*GA_Pct</f>
        <v>5530092.75</v>
      </c>
      <c r="F30" s="38" t="n">
        <f aca="false">Attendance_Revenue!F$30*GA_Pct</f>
        <v>5820063.967575</v>
      </c>
      <c r="G30" s="38" t="n">
        <f aca="false">Attendance_Revenue!G$30*GA_Pct</f>
        <v>6125365.08180763</v>
      </c>
      <c r="H30" s="38" t="n">
        <f aca="false">Attendance_Revenue!H$30*GA_Pct</f>
        <v>6446812.58968437</v>
      </c>
      <c r="I30" s="38" t="n">
        <f aca="false">Attendance_Revenue!I$30*GA_Pct</f>
        <v>6785266.76636316</v>
      </c>
    </row>
    <row r="31" customFormat="false" ht="15" hidden="false" customHeight="false" outlineLevel="0" collapsed="false">
      <c r="A31" s="5"/>
      <c r="B31" s="40" t="s">
        <v>149</v>
      </c>
      <c r="C31" s="38" t="n">
        <f aca="false">Attendance_Revenue!C$30*Entertainment_Pct</f>
        <v>1587300</v>
      </c>
      <c r="D31" s="38" t="n">
        <f aca="false">Attendance_Revenue!D$30*Entertainment_Pct</f>
        <v>2233237.5</v>
      </c>
      <c r="E31" s="38" t="n">
        <f aca="false">Attendance_Revenue!E$30*Entertainment_Pct</f>
        <v>2765046.375</v>
      </c>
      <c r="F31" s="38" t="n">
        <f aca="false">Attendance_Revenue!F$30*Entertainment_Pct</f>
        <v>2910031.9837875</v>
      </c>
      <c r="G31" s="38" t="n">
        <f aca="false">Attendance_Revenue!G$30*Entertainment_Pct</f>
        <v>3062682.54090381</v>
      </c>
      <c r="H31" s="38" t="n">
        <f aca="false">Attendance_Revenue!H$30*Entertainment_Pct</f>
        <v>3223406.29484219</v>
      </c>
      <c r="I31" s="38" t="n">
        <f aca="false">Attendance_Revenue!I$30*Entertainment_Pct</f>
        <v>3392633.38318158</v>
      </c>
    </row>
    <row r="32" customFormat="false" ht="15" hidden="false" customHeight="false" outlineLevel="0" collapsed="false">
      <c r="A32" s="5"/>
      <c r="B32" s="42" t="s">
        <v>234</v>
      </c>
      <c r="C32" s="43" t="n">
        <f aca="false">C22+C25+C26+C27+C28+C29+C30+C31</f>
        <v>36271220</v>
      </c>
      <c r="D32" s="43" t="n">
        <f aca="false">D22+D25+D26+D27+D28+D29+D30+D31</f>
        <v>44176187.5</v>
      </c>
      <c r="E32" s="43" t="n">
        <f aca="false">E22+E25+E26+E27+E28+E29+E30+E31</f>
        <v>50796227.075</v>
      </c>
      <c r="F32" s="43" t="n">
        <f aca="false">F22+F25+F26+F27+F28+F29+F30+F31</f>
        <v>53023101.4671775</v>
      </c>
      <c r="G32" s="43" t="n">
        <f aca="false">G22+G25+G26+G27+G28+G29+G30+G31</f>
        <v>55354472.3613635</v>
      </c>
      <c r="H32" s="43" t="n">
        <f aca="false">H22+H25+H26+H27+H28+H29+H30+H31</f>
        <v>57795504.6465502</v>
      </c>
      <c r="I32" s="43" t="n">
        <f aca="false">I22+I25+I26+I27+I28+I29+I30+I31</f>
        <v>60351628.0073283</v>
      </c>
    </row>
    <row r="33" customFormat="false" ht="15" hidden="false" customHeight="false" outlineLevel="0" collapsed="false">
      <c r="A33" s="5"/>
      <c r="B33" s="5"/>
      <c r="C33" s="5"/>
      <c r="D33" s="5"/>
      <c r="E33" s="5"/>
      <c r="F33" s="5"/>
      <c r="G33" s="5"/>
      <c r="H33" s="5"/>
      <c r="I33" s="5"/>
    </row>
    <row r="34" customFormat="false" ht="15" hidden="false" customHeight="false" outlineLevel="0" collapsed="false">
      <c r="A34" s="5"/>
      <c r="B34" s="39" t="s">
        <v>235</v>
      </c>
      <c r="C34" s="16"/>
      <c r="D34" s="16"/>
      <c r="E34" s="16"/>
      <c r="F34" s="16"/>
      <c r="G34" s="16"/>
      <c r="H34" s="16"/>
      <c r="I34" s="16"/>
    </row>
    <row r="35" customFormat="false" ht="15" hidden="false" customHeight="false" outlineLevel="0" collapsed="false">
      <c r="A35" s="5"/>
      <c r="B35" s="45" t="s">
        <v>235</v>
      </c>
      <c r="C35" s="46" t="n">
        <f aca="false">C15-C32</f>
        <v>22003480</v>
      </c>
      <c r="D35" s="46" t="n">
        <f aca="false">D15-D32</f>
        <v>37860950</v>
      </c>
      <c r="E35" s="46" t="n">
        <f aca="false">E15-E32</f>
        <v>50836022.05</v>
      </c>
      <c r="F35" s="46" t="n">
        <f aca="false">F15-F32</f>
        <v>54000454.94201</v>
      </c>
      <c r="G35" s="46" t="n">
        <f aca="false">G15-G32</f>
        <v>57348419.9386013</v>
      </c>
      <c r="H35" s="46" t="n">
        <f aca="false">H15-H32</f>
        <v>60890237.186153</v>
      </c>
      <c r="I35" s="46" t="n">
        <f aca="false">I15-I32</f>
        <v>64636799.155726</v>
      </c>
    </row>
    <row r="36" customFormat="false" ht="15" hidden="false" customHeight="false" outlineLevel="0" collapsed="false">
      <c r="A36" s="5"/>
      <c r="B36" s="7" t="s">
        <v>236</v>
      </c>
      <c r="C36" s="41" t="n">
        <f aca="false">IFERROR(C35/Attendance_Revenue!C$30,0)</f>
        <v>0.346555156555157</v>
      </c>
      <c r="D36" s="41" t="n">
        <f aca="false">IFERROR(D35/Attendance_Revenue!D$30,0)</f>
        <v>0.423834791418288</v>
      </c>
      <c r="E36" s="41" t="n">
        <f aca="false">IFERROR(E35/Attendance_Revenue!E$30,0)</f>
        <v>0.459630826716243</v>
      </c>
      <c r="F36" s="41" t="n">
        <f aca="false">IFERROR(F35/Attendance_Revenue!F$30,0)</f>
        <v>0.463916335308853</v>
      </c>
      <c r="G36" s="41" t="n">
        <f aca="false">IFERROR(G35/Attendance_Revenue!G$30,0)</f>
        <v>0.468122464315854</v>
      </c>
      <c r="H36" s="41" t="n">
        <f aca="false">IFERROR(H35/Attendance_Revenue!H$30,0)</f>
        <v>0.472250715676024</v>
      </c>
      <c r="I36" s="41" t="n">
        <f aca="false">IFERROR(I35/Attendance_Revenue!I$30,0)</f>
        <v>0.476302563932727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237</v>
      </c>
      <c r="C2" s="5"/>
      <c r="D2" s="5"/>
      <c r="E2" s="5"/>
      <c r="F2" s="5"/>
      <c r="G2" s="5"/>
      <c r="H2" s="5"/>
      <c r="I2" s="5"/>
    </row>
    <row r="3" customFormat="false" ht="15" hidden="false" customHeight="false" outlineLevel="0" collapsed="false">
      <c r="A3" s="5"/>
      <c r="B3" s="29" t="s">
        <v>238</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239</v>
      </c>
      <c r="C8" s="16"/>
      <c r="D8" s="16"/>
      <c r="E8" s="16"/>
      <c r="F8" s="16"/>
      <c r="G8" s="16"/>
      <c r="H8" s="16"/>
      <c r="I8" s="16"/>
    </row>
    <row r="9" customFormat="false" ht="15" hidden="false" customHeight="false" outlineLevel="0" collapsed="false">
      <c r="A9" s="5"/>
      <c r="B9" s="40" t="s">
        <v>158</v>
      </c>
      <c r="C9" s="38" t="n">
        <f aca="false">IF(C6=1,Initial_Cost*Rides_Pct,0)</f>
        <v>54000000</v>
      </c>
      <c r="D9" s="38" t="n">
        <f aca="false">IF(D6=1,Initial_Cost*Rides_Pct,0)</f>
        <v>0</v>
      </c>
      <c r="E9" s="38" t="n">
        <f aca="false">IF(E6=1,Initial_Cost*Rides_Pct,0)</f>
        <v>0</v>
      </c>
      <c r="F9" s="38" t="n">
        <f aca="false">IF(F6=1,Initial_Cost*Rides_Pct,0)</f>
        <v>0</v>
      </c>
      <c r="G9" s="38" t="n">
        <f aca="false">IF(G6=1,Initial_Cost*Rides_Pct,0)</f>
        <v>0</v>
      </c>
      <c r="H9" s="38" t="n">
        <f aca="false">IF(H6=1,Initial_Cost*Rides_Pct,0)</f>
        <v>0</v>
      </c>
      <c r="I9" s="38" t="n">
        <f aca="false">IF(I6=1,Initial_Cost*Rides_Pct,0)</f>
        <v>0</v>
      </c>
    </row>
    <row r="10" customFormat="false" ht="15" hidden="false" customHeight="false" outlineLevel="0" collapsed="false">
      <c r="A10" s="5"/>
      <c r="B10" s="40" t="s">
        <v>160</v>
      </c>
      <c r="C10" s="38" t="n">
        <f aca="false">IF(C6=1,Initial_Cost*Buildings_Pct,0)</f>
        <v>48000000</v>
      </c>
      <c r="D10" s="38" t="n">
        <f aca="false">IF(D6=1,Initial_Cost*Buildings_Pct,0)</f>
        <v>0</v>
      </c>
      <c r="E10" s="38" t="n">
        <f aca="false">IF(E6=1,Initial_Cost*Buildings_Pct,0)</f>
        <v>0</v>
      </c>
      <c r="F10" s="38" t="n">
        <f aca="false">IF(F6=1,Initial_Cost*Buildings_Pct,0)</f>
        <v>0</v>
      </c>
      <c r="G10" s="38" t="n">
        <f aca="false">IF(G6=1,Initial_Cost*Buildings_Pct,0)</f>
        <v>0</v>
      </c>
      <c r="H10" s="38" t="n">
        <f aca="false">IF(H6=1,Initial_Cost*Buildings_Pct,0)</f>
        <v>0</v>
      </c>
      <c r="I10" s="38" t="n">
        <f aca="false">IF(I6=1,Initial_Cost*Buildings_Pct,0)</f>
        <v>0</v>
      </c>
    </row>
    <row r="11" customFormat="false" ht="15" hidden="false" customHeight="false" outlineLevel="0" collapsed="false">
      <c r="A11" s="5"/>
      <c r="B11" s="40" t="s">
        <v>161</v>
      </c>
      <c r="C11" s="38" t="n">
        <f aca="false">IF(C6=1,Initial_Cost*Equipment_Pct,0)</f>
        <v>18000000</v>
      </c>
      <c r="D11" s="38" t="n">
        <f aca="false">IF(D6=1,Initial_Cost*Equipment_Pct,0)</f>
        <v>0</v>
      </c>
      <c r="E11" s="38" t="n">
        <f aca="false">IF(E6=1,Initial_Cost*Equipment_Pct,0)</f>
        <v>0</v>
      </c>
      <c r="F11" s="38" t="n">
        <f aca="false">IF(F6=1,Initial_Cost*Equipment_Pct,0)</f>
        <v>0</v>
      </c>
      <c r="G11" s="38" t="n">
        <f aca="false">IF(G6=1,Initial_Cost*Equipment_Pct,0)</f>
        <v>0</v>
      </c>
      <c r="H11" s="38" t="n">
        <f aca="false">IF(H6=1,Initial_Cost*Equipment_Pct,0)</f>
        <v>0</v>
      </c>
      <c r="I11" s="38" t="n">
        <f aca="false">IF(I6=1,Initial_Cost*Equipment_Pct,0)</f>
        <v>0</v>
      </c>
    </row>
    <row r="12" customFormat="false" ht="15" hidden="false" customHeight="false" outlineLevel="0" collapsed="false">
      <c r="A12" s="5"/>
      <c r="B12" s="42" t="s">
        <v>240</v>
      </c>
      <c r="C12" s="43" t="n">
        <f aca="false">C9+C10+C11</f>
        <v>120000000</v>
      </c>
      <c r="D12" s="43" t="n">
        <f aca="false">D9+D10+D11</f>
        <v>0</v>
      </c>
      <c r="E12" s="43" t="n">
        <f aca="false">E9+E10+E11</f>
        <v>0</v>
      </c>
      <c r="F12" s="43" t="n">
        <f aca="false">F9+F10+F11</f>
        <v>0</v>
      </c>
      <c r="G12" s="43" t="n">
        <f aca="false">G9+G10+G11</f>
        <v>0</v>
      </c>
      <c r="H12" s="43" t="n">
        <f aca="false">H9+H10+H11</f>
        <v>0</v>
      </c>
      <c r="I12" s="43" t="n">
        <f aca="false">I9+I10+I11</f>
        <v>0</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9" t="s">
        <v>241</v>
      </c>
      <c r="C14" s="16"/>
      <c r="D14" s="16"/>
      <c r="E14" s="16"/>
      <c r="F14" s="16"/>
      <c r="G14" s="16"/>
      <c r="H14" s="16"/>
      <c r="I14" s="16"/>
    </row>
    <row r="15" customFormat="false" ht="15" hidden="false" customHeight="false" outlineLevel="0" collapsed="false">
      <c r="A15" s="5"/>
      <c r="B15" s="40" t="s">
        <v>168</v>
      </c>
      <c r="C15" s="38" t="n">
        <f aca="false">Attendance_Revenue!C$30*Maint_Capex_Pct</f>
        <v>3174600</v>
      </c>
      <c r="D15" s="38" t="n">
        <f aca="false">Attendance_Revenue!D$30*Maint_Capex_Pct</f>
        <v>4466475</v>
      </c>
      <c r="E15" s="38" t="n">
        <f aca="false">Attendance_Revenue!E$30*Maint_Capex_Pct</f>
        <v>5530092.75</v>
      </c>
      <c r="F15" s="38" t="n">
        <f aca="false">Attendance_Revenue!F$30*Maint_Capex_Pct</f>
        <v>5820063.967575</v>
      </c>
      <c r="G15" s="38" t="n">
        <f aca="false">Attendance_Revenue!G$30*Maint_Capex_Pct</f>
        <v>6125365.08180763</v>
      </c>
      <c r="H15" s="38" t="n">
        <f aca="false">Attendance_Revenue!H$30*Maint_Capex_Pct</f>
        <v>6446812.58968437</v>
      </c>
      <c r="I15" s="38" t="n">
        <f aca="false">Attendance_Revenue!I$30*Maint_Capex_Pct</f>
        <v>6785266.76636316</v>
      </c>
    </row>
    <row r="16" customFormat="false" ht="15" hidden="false" customHeight="false" outlineLevel="0" collapsed="false">
      <c r="A16" s="5"/>
      <c r="B16" s="40" t="s">
        <v>169</v>
      </c>
      <c r="C16" s="38" t="n">
        <f aca="false">IF(C6&gt;=3,Growth_Capex_Amt*(1+Cost_Escalation)^(C6-3),0)</f>
        <v>0</v>
      </c>
      <c r="D16" s="38" t="n">
        <f aca="false">IF(D6&gt;=3,Growth_Capex_Amt*(1+Cost_Escalation)^(D6-3),0)</f>
        <v>0</v>
      </c>
      <c r="E16" s="38" t="n">
        <f aca="false">IF(E6&gt;=3,Growth_Capex_Amt*(1+Cost_Escalation)^(E6-3),0)</f>
        <v>8000000</v>
      </c>
      <c r="F16" s="38" t="n">
        <f aca="false">IF(F6&gt;=3,Growth_Capex_Amt*(1+Cost_Escalation)^(F6-3),0)</f>
        <v>8200000</v>
      </c>
      <c r="G16" s="38" t="n">
        <f aca="false">IF(G6&gt;=3,Growth_Capex_Amt*(1+Cost_Escalation)^(G6-3),0)</f>
        <v>8405000</v>
      </c>
      <c r="H16" s="38" t="n">
        <f aca="false">IF(H6&gt;=3,Growth_Capex_Amt*(1+Cost_Escalation)^(H6-3),0)</f>
        <v>8615125</v>
      </c>
      <c r="I16" s="38" t="n">
        <f aca="false">IF(I6&gt;=3,Growth_Capex_Amt*(1+Cost_Escalation)^(I6-3),0)</f>
        <v>8830503.125</v>
      </c>
    </row>
    <row r="17" customFormat="false" ht="15" hidden="false" customHeight="false" outlineLevel="0" collapsed="false">
      <c r="A17" s="5"/>
      <c r="B17" s="42" t="s">
        <v>242</v>
      </c>
      <c r="C17" s="43" t="n">
        <f aca="false">C15+C16</f>
        <v>3174600</v>
      </c>
      <c r="D17" s="43" t="n">
        <f aca="false">D15+D16</f>
        <v>4466475</v>
      </c>
      <c r="E17" s="43" t="n">
        <f aca="false">E15+E16</f>
        <v>13530092.75</v>
      </c>
      <c r="F17" s="43" t="n">
        <f aca="false">F15+F16</f>
        <v>14020063.967575</v>
      </c>
      <c r="G17" s="43" t="n">
        <f aca="false">G15+G16</f>
        <v>14530365.0818076</v>
      </c>
      <c r="H17" s="43" t="n">
        <f aca="false">H15+H16</f>
        <v>15061937.5896844</v>
      </c>
      <c r="I17" s="43" t="n">
        <f aca="false">I15+I16</f>
        <v>15615769.8913632</v>
      </c>
    </row>
    <row r="18" customFormat="false" ht="15" hidden="false" customHeight="false" outlineLevel="0" collapsed="false">
      <c r="A18" s="5"/>
      <c r="B18" s="45" t="s">
        <v>243</v>
      </c>
      <c r="C18" s="46" t="n">
        <f aca="false">C12+C17</f>
        <v>123174600</v>
      </c>
      <c r="D18" s="46" t="n">
        <f aca="false">D12+D17</f>
        <v>4466475</v>
      </c>
      <c r="E18" s="46" t="n">
        <f aca="false">E12+E17</f>
        <v>13530092.75</v>
      </c>
      <c r="F18" s="46" t="n">
        <f aca="false">F12+F17</f>
        <v>14020063.967575</v>
      </c>
      <c r="G18" s="46" t="n">
        <f aca="false">G12+G17</f>
        <v>14530365.0818076</v>
      </c>
      <c r="H18" s="46" t="n">
        <f aca="false">H12+H17</f>
        <v>15061937.5896844</v>
      </c>
      <c r="I18" s="46" t="n">
        <f aca="false">I12+I17</f>
        <v>15615769.8913632</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9" t="s">
        <v>244</v>
      </c>
      <c r="C20" s="16"/>
      <c r="D20" s="16"/>
      <c r="E20" s="16"/>
      <c r="F20" s="16"/>
      <c r="G20" s="16"/>
      <c r="H20" s="16"/>
      <c r="I20" s="16"/>
    </row>
    <row r="21" customFormat="false" ht="15" hidden="false" customHeight="false" outlineLevel="0" collapsed="false">
      <c r="A21" s="5"/>
      <c r="B21" s="40" t="s">
        <v>245</v>
      </c>
      <c r="C21" s="38" t="n">
        <f aca="false">Initial_Cost*Rides_Pct/Ride_Life</f>
        <v>3600000</v>
      </c>
      <c r="D21" s="38" t="n">
        <f aca="false">Initial_Cost*Rides_Pct/Ride_Life</f>
        <v>3600000</v>
      </c>
      <c r="E21" s="38" t="n">
        <f aca="false">Initial_Cost*Rides_Pct/Ride_Life</f>
        <v>3600000</v>
      </c>
      <c r="F21" s="38" t="n">
        <f aca="false">Initial_Cost*Rides_Pct/Ride_Life</f>
        <v>3600000</v>
      </c>
      <c r="G21" s="38" t="n">
        <f aca="false">Initial_Cost*Rides_Pct/Ride_Life</f>
        <v>3600000</v>
      </c>
      <c r="H21" s="38" t="n">
        <f aca="false">Initial_Cost*Rides_Pct/Ride_Life</f>
        <v>3600000</v>
      </c>
      <c r="I21" s="38" t="n">
        <f aca="false">Initial_Cost*Rides_Pct/Ride_Life</f>
        <v>3600000</v>
      </c>
    </row>
    <row r="22" customFormat="false" ht="15" hidden="false" customHeight="false" outlineLevel="0" collapsed="false">
      <c r="A22" s="5"/>
      <c r="B22" s="40" t="s">
        <v>246</v>
      </c>
      <c r="C22" s="38" t="n">
        <f aca="false">Initial_Cost*Buildings_Pct/Building_Life</f>
        <v>1600000</v>
      </c>
      <c r="D22" s="38" t="n">
        <f aca="false">Initial_Cost*Buildings_Pct/Building_Life</f>
        <v>1600000</v>
      </c>
      <c r="E22" s="38" t="n">
        <f aca="false">Initial_Cost*Buildings_Pct/Building_Life</f>
        <v>1600000</v>
      </c>
      <c r="F22" s="38" t="n">
        <f aca="false">Initial_Cost*Buildings_Pct/Building_Life</f>
        <v>1600000</v>
      </c>
      <c r="G22" s="38" t="n">
        <f aca="false">Initial_Cost*Buildings_Pct/Building_Life</f>
        <v>1600000</v>
      </c>
      <c r="H22" s="38" t="n">
        <f aca="false">Initial_Cost*Buildings_Pct/Building_Life</f>
        <v>1600000</v>
      </c>
      <c r="I22" s="38" t="n">
        <f aca="false">Initial_Cost*Buildings_Pct/Building_Life</f>
        <v>1600000</v>
      </c>
    </row>
    <row r="23" customFormat="false" ht="15" hidden="false" customHeight="false" outlineLevel="0" collapsed="false">
      <c r="A23" s="5"/>
      <c r="B23" s="40" t="s">
        <v>247</v>
      </c>
      <c r="C23" s="38" t="n">
        <f aca="false">IF(C6&lt;=Equipment_Life,Initial_Cost*Equipment_Pct/Equipment_Life,0)</f>
        <v>2571428.57142857</v>
      </c>
      <c r="D23" s="38" t="n">
        <f aca="false">IF(D6&lt;=Equipment_Life,Initial_Cost*Equipment_Pct/Equipment_Life,0)</f>
        <v>2571428.57142857</v>
      </c>
      <c r="E23" s="38" t="n">
        <f aca="false">IF(E6&lt;=Equipment_Life,Initial_Cost*Equipment_Pct/Equipment_Life,0)</f>
        <v>2571428.57142857</v>
      </c>
      <c r="F23" s="38" t="n">
        <f aca="false">IF(F6&lt;=Equipment_Life,Initial_Cost*Equipment_Pct/Equipment_Life,0)</f>
        <v>2571428.57142857</v>
      </c>
      <c r="G23" s="38" t="n">
        <f aca="false">IF(G6&lt;=Equipment_Life,Initial_Cost*Equipment_Pct/Equipment_Life,0)</f>
        <v>2571428.57142857</v>
      </c>
      <c r="H23" s="38" t="n">
        <f aca="false">IF(H6&lt;=Equipment_Life,Initial_Cost*Equipment_Pct/Equipment_Life,0)</f>
        <v>2571428.57142857</v>
      </c>
      <c r="I23" s="38" t="n">
        <f aca="false">IF(I6&lt;=Equipment_Life,Initial_Cost*Equipment_Pct/Equipment_Life,0)</f>
        <v>2571428.57142857</v>
      </c>
    </row>
    <row r="24" customFormat="false" ht="15" hidden="false" customHeight="false" outlineLevel="0" collapsed="false">
      <c r="A24" s="5"/>
      <c r="B24" s="40" t="s">
        <v>248</v>
      </c>
      <c r="C24" s="38" t="n">
        <f aca="false">IFERROR(SUM($C$15:C15)/Ride_Life,0)</f>
        <v>211640</v>
      </c>
      <c r="D24" s="38" t="n">
        <f aca="false">IFERROR(SUM($C$15:D15)/Ride_Life,0)</f>
        <v>509405</v>
      </c>
      <c r="E24" s="38" t="n">
        <f aca="false">IFERROR(SUM($C$15:E15)/Ride_Life,0)</f>
        <v>878077.85</v>
      </c>
      <c r="F24" s="38" t="n">
        <f aca="false">IFERROR(SUM($C$15:F15)/Ride_Life,0)</f>
        <v>1266082.114505</v>
      </c>
      <c r="G24" s="38" t="n">
        <f aca="false">IFERROR(SUM($C$15:G15)/Ride_Life,0)</f>
        <v>1674439.78662551</v>
      </c>
      <c r="H24" s="38" t="n">
        <f aca="false">IFERROR(SUM($C$15:H15)/Ride_Life,0)</f>
        <v>2104227.29260447</v>
      </c>
      <c r="I24" s="38" t="n">
        <f aca="false">IFERROR(SUM($C$15:I15)/Ride_Life,0)</f>
        <v>2556578.41036201</v>
      </c>
    </row>
    <row r="25" customFormat="false" ht="15" hidden="false" customHeight="false" outlineLevel="0" collapsed="false">
      <c r="A25" s="5"/>
      <c r="B25" s="40" t="s">
        <v>249</v>
      </c>
      <c r="C25" s="38" t="n">
        <f aca="false">IFERROR(SUM($C$16:C16)/Ride_Life,0)</f>
        <v>0</v>
      </c>
      <c r="D25" s="38" t="n">
        <f aca="false">IFERROR(SUM($C$16:D16)/Ride_Life,0)</f>
        <v>0</v>
      </c>
      <c r="E25" s="38" t="n">
        <f aca="false">IFERROR(SUM($C$16:E16)/Ride_Life,0)</f>
        <v>533333.333333333</v>
      </c>
      <c r="F25" s="38" t="n">
        <f aca="false">IFERROR(SUM($C$16:F16)/Ride_Life,0)</f>
        <v>1080000</v>
      </c>
      <c r="G25" s="38" t="n">
        <f aca="false">IFERROR(SUM($C$16:G16)/Ride_Life,0)</f>
        <v>1640333.33333333</v>
      </c>
      <c r="H25" s="38" t="n">
        <f aca="false">IFERROR(SUM($C$16:H16)/Ride_Life,0)</f>
        <v>2214675</v>
      </c>
      <c r="I25" s="38" t="n">
        <f aca="false">IFERROR(SUM($C$16:I16)/Ride_Life,0)</f>
        <v>2803375.20833333</v>
      </c>
    </row>
    <row r="26" customFormat="false" ht="15" hidden="false" customHeight="false" outlineLevel="0" collapsed="false">
      <c r="A26" s="5"/>
      <c r="B26" s="45" t="s">
        <v>250</v>
      </c>
      <c r="C26" s="46" t="n">
        <f aca="false">C21+C22+C23+C24+C25</f>
        <v>7983068.57142857</v>
      </c>
      <c r="D26" s="46" t="n">
        <f aca="false">D21+D22+D23+D24+D25</f>
        <v>8280833.57142857</v>
      </c>
      <c r="E26" s="46" t="n">
        <f aca="false">E21+E22+E23+E24+E25</f>
        <v>9182839.7547619</v>
      </c>
      <c r="F26" s="46" t="n">
        <f aca="false">F21+F22+F23+F24+F25</f>
        <v>10117510.6859336</v>
      </c>
      <c r="G26" s="46" t="n">
        <f aca="false">G21+G22+G23+G24+G25</f>
        <v>11086201.6913874</v>
      </c>
      <c r="H26" s="46" t="n">
        <f aca="false">H21+H22+H23+H24+H25</f>
        <v>12090330.864033</v>
      </c>
      <c r="I26" s="46" t="n">
        <f aca="false">I21+I22+I23+I24+I25</f>
        <v>13131382.1901239</v>
      </c>
    </row>
    <row r="27" customFormat="false" ht="15" hidden="false" customHeight="false" outlineLevel="0" collapsed="false">
      <c r="A27" s="5"/>
      <c r="B27" s="5"/>
      <c r="C27" s="5"/>
      <c r="D27" s="5"/>
      <c r="E27" s="5"/>
      <c r="F27" s="5"/>
      <c r="G27" s="5"/>
      <c r="H27" s="5"/>
      <c r="I27" s="5"/>
    </row>
    <row r="28" customFormat="false" ht="15" hidden="false" customHeight="false" outlineLevel="0" collapsed="false">
      <c r="A28" s="5"/>
      <c r="B28" s="39" t="s">
        <v>251</v>
      </c>
      <c r="C28" s="16"/>
      <c r="D28" s="16"/>
      <c r="E28" s="16"/>
      <c r="F28" s="16"/>
      <c r="G28" s="16"/>
      <c r="H28" s="16"/>
      <c r="I28" s="16"/>
    </row>
    <row r="29" customFormat="false" ht="15" hidden="false" customHeight="false" outlineLevel="0" collapsed="false">
      <c r="A29" s="5"/>
      <c r="B29" s="40" t="s">
        <v>252</v>
      </c>
      <c r="C29" s="38" t="n">
        <f aca="false">C18</f>
        <v>123174600</v>
      </c>
      <c r="D29" s="38" t="n">
        <f aca="false">C29+D18</f>
        <v>127641075</v>
      </c>
      <c r="E29" s="38" t="n">
        <f aca="false">D29+E18</f>
        <v>141171167.75</v>
      </c>
      <c r="F29" s="38" t="n">
        <f aca="false">E29+F18</f>
        <v>155191231.717575</v>
      </c>
      <c r="G29" s="38" t="n">
        <f aca="false">F29+G18</f>
        <v>169721596.799383</v>
      </c>
      <c r="H29" s="38" t="n">
        <f aca="false">G29+H18</f>
        <v>184783534.389067</v>
      </c>
      <c r="I29" s="38" t="n">
        <f aca="false">H29+I18</f>
        <v>200399304.28043</v>
      </c>
    </row>
    <row r="30" customFormat="false" ht="15" hidden="false" customHeight="false" outlineLevel="0" collapsed="false">
      <c r="A30" s="5"/>
      <c r="B30" s="40" t="s">
        <v>253</v>
      </c>
      <c r="C30" s="38" t="n">
        <f aca="false">C26</f>
        <v>7983068.57142857</v>
      </c>
      <c r="D30" s="38" t="n">
        <f aca="false">C30+D26</f>
        <v>16263902.1428571</v>
      </c>
      <c r="E30" s="38" t="n">
        <f aca="false">D30+E26</f>
        <v>25446741.897619</v>
      </c>
      <c r="F30" s="38" t="n">
        <f aca="false">E30+F26</f>
        <v>35564252.5835526</v>
      </c>
      <c r="G30" s="38" t="n">
        <f aca="false">F30+G26</f>
        <v>46650454.27494</v>
      </c>
      <c r="H30" s="38" t="n">
        <f aca="false">G30+H26</f>
        <v>58740785.1389731</v>
      </c>
      <c r="I30" s="38" t="n">
        <f aca="false">H30+I26</f>
        <v>71872167.329097</v>
      </c>
    </row>
    <row r="31" customFormat="false" ht="15" hidden="false" customHeight="false" outlineLevel="0" collapsed="false">
      <c r="A31" s="5"/>
      <c r="B31" s="42" t="s">
        <v>254</v>
      </c>
      <c r="C31" s="43" t="n">
        <f aca="false">MAX(0,C29-C30)</f>
        <v>115191531.428571</v>
      </c>
      <c r="D31" s="43" t="n">
        <f aca="false">MAX(0,D29-D30)</f>
        <v>111377172.857143</v>
      </c>
      <c r="E31" s="43" t="n">
        <f aca="false">MAX(0,E29-E30)</f>
        <v>115724425.852381</v>
      </c>
      <c r="F31" s="43" t="n">
        <f aca="false">MAX(0,F29-F30)</f>
        <v>119626979.134022</v>
      </c>
      <c r="G31" s="43" t="n">
        <f aca="false">MAX(0,G29-G30)</f>
        <v>123071142.524443</v>
      </c>
      <c r="H31" s="43" t="n">
        <f aca="false">MAX(0,H29-H30)</f>
        <v>126042749.250094</v>
      </c>
      <c r="I31" s="43" t="n">
        <f aca="false">MAX(0,I29-I30)</f>
        <v>128527136.951333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255</v>
      </c>
      <c r="C2" s="5"/>
      <c r="D2" s="5"/>
      <c r="E2" s="5"/>
      <c r="F2" s="5"/>
      <c r="G2" s="5"/>
      <c r="H2" s="5"/>
      <c r="I2" s="5"/>
    </row>
    <row r="3" customFormat="false" ht="15" hidden="false" customHeight="false" outlineLevel="0" collapsed="false">
      <c r="A3" s="5"/>
      <c r="B3" s="29" t="s">
        <v>256</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257</v>
      </c>
      <c r="C8" s="16"/>
      <c r="D8" s="16"/>
      <c r="E8" s="16"/>
      <c r="F8" s="16"/>
      <c r="G8" s="16"/>
      <c r="H8" s="16"/>
      <c r="I8" s="16"/>
    </row>
    <row r="9" customFormat="false" ht="15" hidden="false" customHeight="false" outlineLevel="0" collapsed="false">
      <c r="A9" s="5"/>
      <c r="B9" s="40" t="s">
        <v>258</v>
      </c>
      <c r="C9" s="38" t="n">
        <f aca="false">IF(C6=1,Initial_Cost*Debt_LTV,0)</f>
        <v>72000000</v>
      </c>
      <c r="D9" s="38" t="n">
        <f aca="false">IF(D6=1,Initial_Cost*Debt_LTV,0)</f>
        <v>0</v>
      </c>
      <c r="E9" s="38" t="n">
        <f aca="false">IF(E6=1,Initial_Cost*Debt_LTV,0)</f>
        <v>0</v>
      </c>
      <c r="F9" s="38" t="n">
        <f aca="false">IF(F6=1,Initial_Cost*Debt_LTV,0)</f>
        <v>0</v>
      </c>
      <c r="G9" s="38" t="n">
        <f aca="false">IF(G6=1,Initial_Cost*Debt_LTV,0)</f>
        <v>0</v>
      </c>
      <c r="H9" s="38" t="n">
        <f aca="false">IF(H6=1,Initial_Cost*Debt_LTV,0)</f>
        <v>0</v>
      </c>
      <c r="I9" s="38" t="n">
        <f aca="false">IF(I6=1,Initial_Cost*Debt_LTV,0)</f>
        <v>0</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39" t="s">
        <v>259</v>
      </c>
      <c r="C11" s="16"/>
      <c r="D11" s="16"/>
      <c r="E11" s="16"/>
      <c r="F11" s="16"/>
      <c r="G11" s="16"/>
      <c r="H11" s="16"/>
      <c r="I11" s="16"/>
    </row>
    <row r="12" customFormat="false" ht="15" hidden="false" customHeight="false" outlineLevel="0" collapsed="false">
      <c r="A12" s="5"/>
      <c r="B12" s="40" t="s">
        <v>260</v>
      </c>
      <c r="C12" s="38" t="n">
        <f aca="false">C9</f>
        <v>72000000</v>
      </c>
      <c r="D12" s="38" t="n">
        <f aca="false">C14</f>
        <v>72000000</v>
      </c>
      <c r="E12" s="38" t="n">
        <f aca="false">D14</f>
        <v>72000000</v>
      </c>
      <c r="F12" s="38" t="n">
        <f aca="false">E14</f>
        <v>68307655.8860184</v>
      </c>
      <c r="G12" s="38" t="n">
        <f aca="false">F14</f>
        <v>64576970.1877488</v>
      </c>
      <c r="H12" s="38" t="n">
        <f aca="false">G14</f>
        <v>60820788.8281108</v>
      </c>
      <c r="I12" s="38" t="n">
        <f aca="false">H14</f>
        <v>57053138.8914522</v>
      </c>
    </row>
    <row r="13" customFormat="false" ht="15" hidden="false" customHeight="false" outlineLevel="0" collapsed="false">
      <c r="A13" s="5"/>
      <c r="B13" s="40" t="s">
        <v>261</v>
      </c>
      <c r="C13" s="38" t="n">
        <f aca="false">IF(C6&lt;=IO_Period,0,IF(C12&lt;=0,0,-PPMT(Interest_Rate,C6-IO_Period,Loan_Term-IO_Period,C12)))</f>
        <v>0</v>
      </c>
      <c r="D13" s="38" t="n">
        <f aca="false">IF(D6&lt;=IO_Period,0,IF(D12&lt;=0,0,-PPMT(Interest_Rate,D6-IO_Period,Loan_Term-IO_Period,D12)))</f>
        <v>0</v>
      </c>
      <c r="E13" s="38" t="n">
        <f aca="false">IF(E6&lt;=IO_Period,0,IF(E12&lt;=0,0,-PPMT(Interest_Rate,E6-IO_Period,Loan_Term-IO_Period,E12)))</f>
        <v>3692344.11398163</v>
      </c>
      <c r="F13" s="38" t="n">
        <f aca="false">IF(F6&lt;=IO_Period,0,IF(F12&lt;=0,0,-PPMT(Interest_Rate,F6-IO_Period,Loan_Term-IO_Period,F12)))</f>
        <v>3730685.69826962</v>
      </c>
      <c r="G13" s="38" t="n">
        <f aca="false">IF(G6&lt;=IO_Period,0,IF(G12&lt;=0,0,-PPMT(Interest_Rate,G6-IO_Period,Loan_Term-IO_Period,G12)))</f>
        <v>3756181.35963793</v>
      </c>
      <c r="H13" s="38" t="n">
        <f aca="false">IF(H6&lt;=IO_Period,0,IF(H12&lt;=0,0,-PPMT(Interest_Rate,H6-IO_Period,Loan_Term-IO_Period,H12)))</f>
        <v>3767649.93665859</v>
      </c>
      <c r="I13" s="38" t="n">
        <f aca="false">IF(I6&lt;=IO_Period,0,IF(I12&lt;=0,0,-PPMT(Interest_Rate,I6-IO_Period,Loan_Term-IO_Period,I12)))</f>
        <v>3763982.94275708</v>
      </c>
    </row>
    <row r="14" customFormat="false" ht="15" hidden="false" customHeight="false" outlineLevel="0" collapsed="false">
      <c r="A14" s="5"/>
      <c r="B14" s="47" t="s">
        <v>262</v>
      </c>
      <c r="C14" s="43" t="n">
        <f aca="false">C12-C13</f>
        <v>72000000</v>
      </c>
      <c r="D14" s="43" t="n">
        <f aca="false">D12-D13</f>
        <v>72000000</v>
      </c>
      <c r="E14" s="43" t="n">
        <f aca="false">E12-E13</f>
        <v>68307655.8860184</v>
      </c>
      <c r="F14" s="43" t="n">
        <f aca="false">F12-F13</f>
        <v>64576970.1877488</v>
      </c>
      <c r="G14" s="43" t="n">
        <f aca="false">G12-G13</f>
        <v>60820788.8281108</v>
      </c>
      <c r="H14" s="43" t="n">
        <f aca="false">H12-H13</f>
        <v>57053138.8914522</v>
      </c>
      <c r="I14" s="43" t="n">
        <f aca="false">I12-I13</f>
        <v>53289155.9486952</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9" t="s">
        <v>263</v>
      </c>
      <c r="C16" s="16"/>
      <c r="D16" s="16"/>
      <c r="E16" s="16"/>
      <c r="F16" s="16"/>
      <c r="G16" s="16"/>
      <c r="H16" s="16"/>
      <c r="I16" s="16"/>
    </row>
    <row r="17" customFormat="false" ht="15" hidden="false" customHeight="false" outlineLevel="0" collapsed="false">
      <c r="A17" s="5"/>
      <c r="B17" s="40" t="s">
        <v>264</v>
      </c>
      <c r="C17" s="38" t="n">
        <f aca="false">C12*Interest_Rate</f>
        <v>4680000</v>
      </c>
      <c r="D17" s="38" t="n">
        <f aca="false">D12*Interest_Rate</f>
        <v>4680000</v>
      </c>
      <c r="E17" s="38" t="n">
        <f aca="false">E12*Interest_Rate</f>
        <v>4680000</v>
      </c>
      <c r="F17" s="38" t="n">
        <f aca="false">F12*Interest_Rate</f>
        <v>4439997.63259119</v>
      </c>
      <c r="G17" s="38" t="n">
        <f aca="false">G12*Interest_Rate</f>
        <v>4197503.06220367</v>
      </c>
      <c r="H17" s="38" t="n">
        <f aca="false">H12*Interest_Rate</f>
        <v>3953351.2738272</v>
      </c>
      <c r="I17" s="38" t="n">
        <f aca="false">I12*Interest_Rate</f>
        <v>3708454.0279444</v>
      </c>
    </row>
    <row r="18" customFormat="false" ht="15" hidden="false" customHeight="false" outlineLevel="0" collapsed="false">
      <c r="A18" s="5"/>
      <c r="B18" s="42" t="s">
        <v>265</v>
      </c>
      <c r="C18" s="43" t="n">
        <f aca="false">C13+C17</f>
        <v>4680000</v>
      </c>
      <c r="D18" s="43" t="n">
        <f aca="false">D13+D17</f>
        <v>4680000</v>
      </c>
      <c r="E18" s="43" t="n">
        <f aca="false">E13+E17</f>
        <v>8372344.11398163</v>
      </c>
      <c r="F18" s="43" t="n">
        <f aca="false">F13+F17</f>
        <v>8170683.33086082</v>
      </c>
      <c r="G18" s="43" t="n">
        <f aca="false">G13+G17</f>
        <v>7953684.4218416</v>
      </c>
      <c r="H18" s="43" t="n">
        <f aca="false">H13+H17</f>
        <v>7721001.21048579</v>
      </c>
      <c r="I18" s="43" t="n">
        <f aca="false">I13+I17</f>
        <v>7472436.97070148</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7" t="s">
        <v>266</v>
      </c>
      <c r="C20" s="48" t="n">
        <f aca="false">IFERROR((Operating_Costs!C$35-Capex_Depreciation!C$15)/C18,0)</f>
        <v>4.02326495726496</v>
      </c>
      <c r="D20" s="48" t="n">
        <f aca="false">IFERROR((Operating_Costs!D$35-Capex_Depreciation!D$15)/D18,0)</f>
        <v>7.13557158119658</v>
      </c>
      <c r="E20" s="48" t="n">
        <f aca="false">IFERROR((Operating_Costs!E$35-Capex_Depreciation!E$15)/E18,0)</f>
        <v>5.41137926047976</v>
      </c>
      <c r="F20" s="48" t="n">
        <f aca="false">IFERROR((Operating_Costs!F$35-Capex_Depreciation!F$15)/F18,0)</f>
        <v>5.89673947984947</v>
      </c>
      <c r="G20" s="48" t="n">
        <f aca="false">IFERROR((Operating_Costs!G$35-Capex_Depreciation!G$15)/G18,0)</f>
        <v>6.44016686356453</v>
      </c>
      <c r="H20" s="48" t="n">
        <f aca="false">IFERROR((Operating_Costs!H$35-Capex_Depreciation!H$15)/H18,0)</f>
        <v>7.05134258009566</v>
      </c>
      <c r="I20" s="48" t="n">
        <f aca="false">IFERROR((Operating_Costs!I$35-Capex_Depreciation!I$15)/I18,0)</f>
        <v>7.74199001158413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267</v>
      </c>
      <c r="C2" s="5"/>
      <c r="D2" s="5"/>
      <c r="E2" s="5"/>
      <c r="F2" s="5"/>
      <c r="G2" s="5"/>
      <c r="H2" s="5"/>
      <c r="I2" s="5"/>
    </row>
    <row r="3" customFormat="false" ht="15" hidden="false" customHeight="false" outlineLevel="0" collapsed="false">
      <c r="A3" s="5"/>
      <c r="B3" s="29" t="s">
        <v>17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268</v>
      </c>
      <c r="C8" s="16"/>
      <c r="D8" s="16"/>
      <c r="E8" s="16"/>
      <c r="F8" s="16"/>
      <c r="G8" s="16"/>
      <c r="H8" s="16"/>
      <c r="I8" s="16"/>
    </row>
    <row r="9" customFormat="false" ht="15" hidden="false" customHeight="false" outlineLevel="0" collapsed="false">
      <c r="A9" s="5"/>
      <c r="B9" s="40" t="s">
        <v>269</v>
      </c>
      <c r="C9" s="38" t="n">
        <f aca="false">Attendance_Revenue!C$16</f>
        <v>42900000</v>
      </c>
      <c r="D9" s="38" t="n">
        <f aca="false">Attendance_Revenue!D$16</f>
        <v>60547500</v>
      </c>
      <c r="E9" s="38" t="n">
        <f aca="false">Attendance_Revenue!E$16</f>
        <v>75199995</v>
      </c>
      <c r="F9" s="38" t="n">
        <f aca="false">Attendance_Revenue!F$16</f>
        <v>79388634.7215</v>
      </c>
      <c r="G9" s="38" t="n">
        <f aca="false">Attendance_Revenue!G$16</f>
        <v>83810581.6754875</v>
      </c>
      <c r="H9" s="38" t="n">
        <f aca="false">Attendance_Revenue!H$16</f>
        <v>88478831.0748122</v>
      </c>
      <c r="I9" s="38" t="n">
        <f aca="false">Attendance_Revenue!I$16</f>
        <v>93407101.9656792</v>
      </c>
    </row>
    <row r="10" customFormat="false" ht="15" hidden="false" customHeight="false" outlineLevel="0" collapsed="false">
      <c r="A10" s="5"/>
      <c r="B10" s="40" t="s">
        <v>270</v>
      </c>
      <c r="C10" s="38" t="n">
        <f aca="false">Attendance_Revenue!C$19</f>
        <v>10164000</v>
      </c>
      <c r="D10" s="38" t="n">
        <f aca="false">Attendance_Revenue!D$19</f>
        <v>14206500</v>
      </c>
      <c r="E10" s="38" t="n">
        <f aca="false">Attendance_Revenue!E$19</f>
        <v>17473995</v>
      </c>
      <c r="F10" s="38" t="n">
        <f aca="false">Attendance_Revenue!F$19</f>
        <v>18269061.7725</v>
      </c>
      <c r="G10" s="38" t="n">
        <f aca="false">Attendance_Revenue!G$19</f>
        <v>19100304.0831487</v>
      </c>
      <c r="H10" s="38" t="n">
        <f aca="false">Attendance_Revenue!H$19</f>
        <v>19969367.918932</v>
      </c>
      <c r="I10" s="38" t="n">
        <f aca="false">Attendance_Revenue!I$19</f>
        <v>20877974.1592434</v>
      </c>
    </row>
    <row r="11" customFormat="false" ht="15" hidden="false" customHeight="false" outlineLevel="0" collapsed="false">
      <c r="A11" s="5"/>
      <c r="B11" s="40" t="s">
        <v>271</v>
      </c>
      <c r="C11" s="38" t="n">
        <f aca="false">Attendance_Revenue!C$22</f>
        <v>4158000</v>
      </c>
      <c r="D11" s="38" t="n">
        <f aca="false">Attendance_Revenue!D$22</f>
        <v>5811750</v>
      </c>
      <c r="E11" s="38" t="n">
        <f aca="false">Attendance_Revenue!E$22</f>
        <v>7148452.5</v>
      </c>
      <c r="F11" s="38" t="n">
        <f aca="false">Attendance_Revenue!F$22</f>
        <v>7473707.08875</v>
      </c>
      <c r="G11" s="38" t="n">
        <f aca="false">Attendance_Revenue!G$22</f>
        <v>7813760.76128812</v>
      </c>
      <c r="H11" s="38" t="n">
        <f aca="false">Attendance_Revenue!H$22</f>
        <v>8169286.87592673</v>
      </c>
      <c r="I11" s="38" t="n">
        <f aca="false">Attendance_Revenue!I$22</f>
        <v>8540989.4287814</v>
      </c>
    </row>
    <row r="12" customFormat="false" ht="15" hidden="false" customHeight="false" outlineLevel="0" collapsed="false">
      <c r="A12" s="5"/>
      <c r="B12" s="40" t="s">
        <v>272</v>
      </c>
      <c r="C12" s="38" t="n">
        <f aca="false">Attendance_Revenue!C$25</f>
        <v>4620000</v>
      </c>
      <c r="D12" s="38" t="n">
        <f aca="false">Attendance_Revenue!D$25</f>
        <v>6457500</v>
      </c>
      <c r="E12" s="38" t="n">
        <f aca="false">Attendance_Revenue!E$25</f>
        <v>7942725</v>
      </c>
      <c r="F12" s="38" t="n">
        <f aca="false">Attendance_Revenue!F$25</f>
        <v>8304118.9875</v>
      </c>
      <c r="G12" s="38" t="n">
        <f aca="false">Attendance_Revenue!G$25</f>
        <v>8681956.40143125</v>
      </c>
      <c r="H12" s="38" t="n">
        <f aca="false">Attendance_Revenue!H$25</f>
        <v>9076985.41769637</v>
      </c>
      <c r="I12" s="38" t="n">
        <f aca="false">Attendance_Revenue!I$25</f>
        <v>9489988.25420155</v>
      </c>
    </row>
    <row r="13" customFormat="false" ht="15" hidden="false" customHeight="false" outlineLevel="0" collapsed="false">
      <c r="A13" s="5"/>
      <c r="B13" s="40" t="s">
        <v>273</v>
      </c>
      <c r="C13" s="38" t="n">
        <f aca="false">Attendance_Revenue!C$28</f>
        <v>1650000</v>
      </c>
      <c r="D13" s="38" t="n">
        <f aca="false">Attendance_Revenue!D$28</f>
        <v>2306250</v>
      </c>
      <c r="E13" s="38" t="n">
        <f aca="false">Attendance_Revenue!E$28</f>
        <v>2836687.5</v>
      </c>
      <c r="F13" s="38" t="n">
        <f aca="false">Attendance_Revenue!F$28</f>
        <v>2965756.78125</v>
      </c>
      <c r="G13" s="38" t="n">
        <f aca="false">Attendance_Revenue!G$28</f>
        <v>3100698.71479687</v>
      </c>
      <c r="H13" s="38" t="n">
        <f aca="false">Attendance_Revenue!H$28</f>
        <v>3241780.50632013</v>
      </c>
      <c r="I13" s="38" t="n">
        <f aca="false">Attendance_Revenue!I$28</f>
        <v>3389281.5193577</v>
      </c>
    </row>
    <row r="14" customFormat="false" ht="15" hidden="false" customHeight="false" outlineLevel="0" collapsed="false">
      <c r="A14" s="5"/>
      <c r="B14" s="42" t="s">
        <v>223</v>
      </c>
      <c r="C14" s="43" t="n">
        <f aca="false">Attendance_Revenue!C$30</f>
        <v>63492000</v>
      </c>
      <c r="D14" s="43" t="n">
        <f aca="false">Attendance_Revenue!D$30</f>
        <v>89329500</v>
      </c>
      <c r="E14" s="43" t="n">
        <f aca="false">Attendance_Revenue!E$30</f>
        <v>110601855</v>
      </c>
      <c r="F14" s="43" t="n">
        <f aca="false">Attendance_Revenue!F$30</f>
        <v>116401279.3515</v>
      </c>
      <c r="G14" s="43" t="n">
        <f aca="false">Attendance_Revenue!G$30</f>
        <v>122507301.636153</v>
      </c>
      <c r="H14" s="43" t="n">
        <f aca="false">Attendance_Revenue!H$30</f>
        <v>128936251.793687</v>
      </c>
      <c r="I14" s="43" t="n">
        <f aca="false">Attendance_Revenue!I$30</f>
        <v>135705335.327263</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9" t="s">
        <v>113</v>
      </c>
      <c r="C16" s="16"/>
      <c r="D16" s="16"/>
      <c r="E16" s="16"/>
      <c r="F16" s="16"/>
      <c r="G16" s="16"/>
      <c r="H16" s="16"/>
      <c r="I16" s="16"/>
    </row>
    <row r="17" customFormat="false" ht="15" hidden="false" customHeight="false" outlineLevel="0" collapsed="false">
      <c r="A17" s="5"/>
      <c r="B17" s="40" t="s">
        <v>274</v>
      </c>
      <c r="C17" s="38" t="n">
        <f aca="false">Operating_Costs!C$12</f>
        <v>5217300</v>
      </c>
      <c r="D17" s="38" t="n">
        <f aca="false">Operating_Costs!D$12</f>
        <v>7292362.5</v>
      </c>
      <c r="E17" s="38" t="n">
        <f aca="false">Operating_Costs!E$12</f>
        <v>8969605.875</v>
      </c>
      <c r="F17" s="38" t="n">
        <f aca="false">Operating_Costs!F$12</f>
        <v>9377722.9423125</v>
      </c>
      <c r="G17" s="38" t="n">
        <f aca="false">Operating_Costs!G$12</f>
        <v>9804409.33618772</v>
      </c>
      <c r="H17" s="38" t="n">
        <f aca="false">Operating_Costs!H$12</f>
        <v>10250509.9609843</v>
      </c>
      <c r="I17" s="38" t="n">
        <f aca="false">Operating_Costs!I$12</f>
        <v>10716908.164209</v>
      </c>
    </row>
    <row r="18" customFormat="false" ht="15" hidden="false" customHeight="false" outlineLevel="0" collapsed="false">
      <c r="A18" s="5"/>
      <c r="B18" s="42" t="s">
        <v>275</v>
      </c>
      <c r="C18" s="43" t="n">
        <f aca="false">C14-C17</f>
        <v>58274700</v>
      </c>
      <c r="D18" s="43" t="n">
        <f aca="false">D14-D17</f>
        <v>82037137.5</v>
      </c>
      <c r="E18" s="43" t="n">
        <f aca="false">E14-E17</f>
        <v>101632249.125</v>
      </c>
      <c r="F18" s="43" t="n">
        <f aca="false">F14-F17</f>
        <v>107023556.409187</v>
      </c>
      <c r="G18" s="43" t="n">
        <f aca="false">G14-G17</f>
        <v>112702892.299965</v>
      </c>
      <c r="H18" s="43" t="n">
        <f aca="false">H14-H17</f>
        <v>118685741.832703</v>
      </c>
      <c r="I18" s="43" t="n">
        <f aca="false">I14-I17</f>
        <v>124988427.163054</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9" t="s">
        <v>140</v>
      </c>
      <c r="C20" s="16"/>
      <c r="D20" s="16"/>
      <c r="E20" s="16"/>
      <c r="F20" s="16"/>
      <c r="G20" s="16"/>
      <c r="H20" s="16"/>
      <c r="I20" s="16"/>
    </row>
    <row r="21" customFormat="false" ht="15" hidden="false" customHeight="false" outlineLevel="0" collapsed="false">
      <c r="A21" s="5"/>
      <c r="B21" s="40" t="s">
        <v>276</v>
      </c>
      <c r="C21" s="38" t="n">
        <f aca="false">Operating_Costs!C$22</f>
        <v>17376000</v>
      </c>
      <c r="D21" s="38" t="n">
        <f aca="false">Operating_Costs!D$22</f>
        <v>17897280</v>
      </c>
      <c r="E21" s="38" t="n">
        <f aca="false">Operating_Costs!E$22</f>
        <v>18434198.4</v>
      </c>
      <c r="F21" s="38" t="n">
        <f aca="false">Operating_Costs!F$22</f>
        <v>18987224.352</v>
      </c>
      <c r="G21" s="38" t="n">
        <f aca="false">Operating_Costs!G$22</f>
        <v>19556841.08256</v>
      </c>
      <c r="H21" s="38" t="n">
        <f aca="false">Operating_Costs!H$22</f>
        <v>20143546.3150368</v>
      </c>
      <c r="I21" s="38" t="n">
        <f aca="false">Operating_Costs!I$22</f>
        <v>20747852.7044879</v>
      </c>
    </row>
    <row r="22" customFormat="false" ht="15" hidden="false" customHeight="false" outlineLevel="0" collapsed="false">
      <c r="A22" s="5"/>
      <c r="B22" s="40" t="s">
        <v>277</v>
      </c>
      <c r="C22" s="38" t="n">
        <f aca="false">Operating_Costs!C$32-Operating_Costs!C$22</f>
        <v>18895220</v>
      </c>
      <c r="D22" s="38" t="n">
        <f aca="false">Operating_Costs!D$32-Operating_Costs!D$22</f>
        <v>26278907.5</v>
      </c>
      <c r="E22" s="38" t="n">
        <f aca="false">Operating_Costs!E$32-Operating_Costs!E$22</f>
        <v>32362028.675</v>
      </c>
      <c r="F22" s="38" t="n">
        <f aca="false">Operating_Costs!F$32-Operating_Costs!F$22</f>
        <v>34035877.1151775</v>
      </c>
      <c r="G22" s="38" t="n">
        <f aca="false">Operating_Costs!G$32-Operating_Costs!G$22</f>
        <v>35797631.2788035</v>
      </c>
      <c r="H22" s="38" t="n">
        <f aca="false">Operating_Costs!H$32-Operating_Costs!H$22</f>
        <v>37651958.3315134</v>
      </c>
      <c r="I22" s="38" t="n">
        <f aca="false">Operating_Costs!I$32-Operating_Costs!I$22</f>
        <v>39603775.3028403</v>
      </c>
    </row>
    <row r="23" customFormat="false" ht="15" hidden="false" customHeight="false" outlineLevel="0" collapsed="false">
      <c r="A23" s="5"/>
      <c r="B23" s="42" t="s">
        <v>235</v>
      </c>
      <c r="C23" s="43" t="n">
        <f aca="false">Operating_Costs!C$35</f>
        <v>22003480</v>
      </c>
      <c r="D23" s="43" t="n">
        <f aca="false">Operating_Costs!D$35</f>
        <v>37860950</v>
      </c>
      <c r="E23" s="43" t="n">
        <f aca="false">Operating_Costs!E$35</f>
        <v>50836022.05</v>
      </c>
      <c r="F23" s="43" t="n">
        <f aca="false">Operating_Costs!F$35</f>
        <v>54000454.94201</v>
      </c>
      <c r="G23" s="43" t="n">
        <f aca="false">Operating_Costs!G$35</f>
        <v>57348419.9386013</v>
      </c>
      <c r="H23" s="43" t="n">
        <f aca="false">Operating_Costs!H$35</f>
        <v>60890237.186153</v>
      </c>
      <c r="I23" s="43" t="n">
        <f aca="false">Operating_Costs!I$35</f>
        <v>64636799.155726</v>
      </c>
    </row>
    <row r="24" customFormat="false" ht="15" hidden="false" customHeight="false" outlineLevel="0" collapsed="false">
      <c r="A24" s="5"/>
      <c r="B24" s="5"/>
      <c r="C24" s="5"/>
      <c r="D24" s="5"/>
      <c r="E24" s="5"/>
      <c r="F24" s="5"/>
      <c r="G24" s="5"/>
      <c r="H24" s="5"/>
      <c r="I24" s="5"/>
    </row>
    <row r="25" customFormat="false" ht="15" hidden="false" customHeight="false" outlineLevel="0" collapsed="false">
      <c r="A25" s="5"/>
      <c r="B25" s="40" t="s">
        <v>244</v>
      </c>
      <c r="C25" s="38" t="n">
        <f aca="false">Capex_Depreciation!C$26</f>
        <v>7983068.57142857</v>
      </c>
      <c r="D25" s="38" t="n">
        <f aca="false">Capex_Depreciation!D$26</f>
        <v>8280833.57142857</v>
      </c>
      <c r="E25" s="38" t="n">
        <f aca="false">Capex_Depreciation!E$26</f>
        <v>9182839.7547619</v>
      </c>
      <c r="F25" s="38" t="n">
        <f aca="false">Capex_Depreciation!F$26</f>
        <v>10117510.6859336</v>
      </c>
      <c r="G25" s="38" t="n">
        <f aca="false">Capex_Depreciation!G$26</f>
        <v>11086201.6913874</v>
      </c>
      <c r="H25" s="38" t="n">
        <f aca="false">Capex_Depreciation!H$26</f>
        <v>12090330.864033</v>
      </c>
      <c r="I25" s="38" t="n">
        <f aca="false">Capex_Depreciation!I$26</f>
        <v>13131382.1901239</v>
      </c>
    </row>
    <row r="26" customFormat="false" ht="15" hidden="false" customHeight="false" outlineLevel="0" collapsed="false">
      <c r="A26" s="5"/>
      <c r="B26" s="42" t="s">
        <v>278</v>
      </c>
      <c r="C26" s="43" t="n">
        <f aca="false">C23-C25</f>
        <v>14020411.4285714</v>
      </c>
      <c r="D26" s="43" t="n">
        <f aca="false">D23-D25</f>
        <v>29580116.4285714</v>
      </c>
      <c r="E26" s="43" t="n">
        <f aca="false">E23-E25</f>
        <v>41653182.2952381</v>
      </c>
      <c r="F26" s="43" t="n">
        <f aca="false">F23-F25</f>
        <v>43882944.2560764</v>
      </c>
      <c r="G26" s="43" t="n">
        <f aca="false">G23-G25</f>
        <v>46262218.2472139</v>
      </c>
      <c r="H26" s="43" t="n">
        <f aca="false">H23-H25</f>
        <v>48799906.3221199</v>
      </c>
      <c r="I26" s="43" t="n">
        <f aca="false">I23-I25</f>
        <v>51505416.9656021</v>
      </c>
    </row>
    <row r="27" customFormat="false" ht="15" hidden="false" customHeight="false" outlineLevel="0" collapsed="false">
      <c r="A27" s="5"/>
      <c r="B27" s="5"/>
      <c r="C27" s="5"/>
      <c r="D27" s="5"/>
      <c r="E27" s="5"/>
      <c r="F27" s="5"/>
      <c r="G27" s="5"/>
      <c r="H27" s="5"/>
      <c r="I27" s="5"/>
    </row>
    <row r="28" customFormat="false" ht="15" hidden="false" customHeight="false" outlineLevel="0" collapsed="false">
      <c r="A28" s="5"/>
      <c r="B28" s="40" t="s">
        <v>264</v>
      </c>
      <c r="C28" s="38" t="n">
        <f aca="false">Debt_Schedule!C$17</f>
        <v>4680000</v>
      </c>
      <c r="D28" s="38" t="n">
        <f aca="false">Debt_Schedule!D$17</f>
        <v>4680000</v>
      </c>
      <c r="E28" s="38" t="n">
        <f aca="false">Debt_Schedule!E$17</f>
        <v>4680000</v>
      </c>
      <c r="F28" s="38" t="n">
        <f aca="false">Debt_Schedule!F$17</f>
        <v>4439997.63259119</v>
      </c>
      <c r="G28" s="38" t="n">
        <f aca="false">Debt_Schedule!G$17</f>
        <v>4197503.06220367</v>
      </c>
      <c r="H28" s="38" t="n">
        <f aca="false">Debt_Schedule!H$17</f>
        <v>3953351.2738272</v>
      </c>
      <c r="I28" s="38" t="n">
        <f aca="false">Debt_Schedule!I$17</f>
        <v>3708454.0279444</v>
      </c>
    </row>
    <row r="29" customFormat="false" ht="15" hidden="false" customHeight="false" outlineLevel="0" collapsed="false">
      <c r="A29" s="5"/>
      <c r="B29" s="42" t="s">
        <v>279</v>
      </c>
      <c r="C29" s="43" t="n">
        <f aca="false">C26-C28</f>
        <v>9340411.42857143</v>
      </c>
      <c r="D29" s="43" t="n">
        <f aca="false">D26-D28</f>
        <v>24900116.4285714</v>
      </c>
      <c r="E29" s="43" t="n">
        <f aca="false">E26-E28</f>
        <v>36973182.2952381</v>
      </c>
      <c r="F29" s="43" t="n">
        <f aca="false">F26-F28</f>
        <v>39442946.6234852</v>
      </c>
      <c r="G29" s="43" t="n">
        <f aca="false">G26-G28</f>
        <v>42064715.1850102</v>
      </c>
      <c r="H29" s="43" t="n">
        <f aca="false">H26-H28</f>
        <v>44846555.0482927</v>
      </c>
      <c r="I29" s="43" t="n">
        <f aca="false">I26-I28</f>
        <v>47796962.9376577</v>
      </c>
    </row>
    <row r="30" customFormat="false" ht="15" hidden="false" customHeight="false" outlineLevel="0" collapsed="false">
      <c r="A30" s="5"/>
      <c r="B30" s="40" t="s">
        <v>280</v>
      </c>
      <c r="C30" s="38" t="n">
        <f aca="false">MAX(0,C29*Tax_Rate)</f>
        <v>2335102.85714286</v>
      </c>
      <c r="D30" s="38" t="n">
        <f aca="false">MAX(0,D29*Tax_Rate)</f>
        <v>6225029.10714285</v>
      </c>
      <c r="E30" s="38" t="n">
        <f aca="false">MAX(0,E29*Tax_Rate)</f>
        <v>9243295.57380952</v>
      </c>
      <c r="F30" s="38" t="n">
        <f aca="false">MAX(0,F29*Tax_Rate)</f>
        <v>9860736.6558713</v>
      </c>
      <c r="G30" s="38" t="n">
        <f aca="false">MAX(0,G29*Tax_Rate)</f>
        <v>10516178.7962526</v>
      </c>
      <c r="H30" s="38" t="n">
        <f aca="false">MAX(0,H29*Tax_Rate)</f>
        <v>11211638.7620732</v>
      </c>
      <c r="I30" s="38" t="n">
        <f aca="false">MAX(0,I29*Tax_Rate)</f>
        <v>11949240.7344144</v>
      </c>
    </row>
    <row r="31" customFormat="false" ht="15" hidden="false" customHeight="false" outlineLevel="0" collapsed="false">
      <c r="A31" s="5"/>
      <c r="B31" s="45" t="s">
        <v>281</v>
      </c>
      <c r="C31" s="46" t="n">
        <f aca="false">C29-C30</f>
        <v>7005308.57142857</v>
      </c>
      <c r="D31" s="46" t="n">
        <f aca="false">D29-D30</f>
        <v>18675087.3214286</v>
      </c>
      <c r="E31" s="46" t="n">
        <f aca="false">E29-E30</f>
        <v>27729886.7214286</v>
      </c>
      <c r="F31" s="46" t="n">
        <f aca="false">F29-F30</f>
        <v>29582209.9676139</v>
      </c>
      <c r="G31" s="46" t="n">
        <f aca="false">G29-G30</f>
        <v>31548536.3887577</v>
      </c>
      <c r="H31" s="46" t="n">
        <f aca="false">H29-H30</f>
        <v>33634916.2862195</v>
      </c>
      <c r="I31" s="46" t="n">
        <f aca="false">I29-I30</f>
        <v>35847722.2032433</v>
      </c>
    </row>
    <row r="32" customFormat="false" ht="15" hidden="false" customHeight="false" outlineLevel="0" collapsed="false">
      <c r="A32" s="5"/>
      <c r="B32" s="5"/>
      <c r="C32" s="5"/>
      <c r="D32" s="5"/>
      <c r="E32" s="5"/>
      <c r="F32" s="5"/>
      <c r="G32" s="5"/>
      <c r="H32" s="5"/>
      <c r="I32" s="5"/>
    </row>
    <row r="33" customFormat="false" ht="15" hidden="false" customHeight="false" outlineLevel="0" collapsed="false">
      <c r="A33" s="5"/>
      <c r="B33" s="7" t="s">
        <v>236</v>
      </c>
      <c r="C33" s="41" t="n">
        <f aca="false">IFERROR(C23/C14,0)</f>
        <v>0.346555156555157</v>
      </c>
      <c r="D33" s="41" t="n">
        <f aca="false">IFERROR(D23/D14,0)</f>
        <v>0.423834791418288</v>
      </c>
      <c r="E33" s="41" t="n">
        <f aca="false">IFERROR(E23/E14,0)</f>
        <v>0.459630826716243</v>
      </c>
      <c r="F33" s="41" t="n">
        <f aca="false">IFERROR(F23/F14,0)</f>
        <v>0.463916335308853</v>
      </c>
      <c r="G33" s="41" t="n">
        <f aca="false">IFERROR(G23/G14,0)</f>
        <v>0.468122464315854</v>
      </c>
      <c r="H33" s="41" t="n">
        <f aca="false">IFERROR(H23/H14,0)</f>
        <v>0.472250715676024</v>
      </c>
      <c r="I33" s="41" t="n">
        <f aca="false">IFERROR(I23/I14,0)</f>
        <v>0.476302563932727</v>
      </c>
    </row>
    <row r="34" customFormat="false" ht="15" hidden="false" customHeight="false" outlineLevel="0" collapsed="false">
      <c r="A34" s="5"/>
      <c r="B34" s="7" t="s">
        <v>282</v>
      </c>
      <c r="C34" s="41" t="n">
        <f aca="false">IFERROR(C31/C14,0)</f>
        <v>0.11033372033372</v>
      </c>
      <c r="D34" s="41" t="n">
        <f aca="false">IFERROR(D31/D14,0)</f>
        <v>0.209058455733308</v>
      </c>
      <c r="E34" s="41" t="n">
        <f aca="false">IFERROR(E31/E14,0)</f>
        <v>0.250718098005034</v>
      </c>
      <c r="F34" s="41" t="n">
        <f aca="false">IFERROR(F31/F14,0)</f>
        <v>0.25413990406655</v>
      </c>
      <c r="G34" s="41" t="n">
        <f aca="false">IFERROR(G31/G14,0)</f>
        <v>0.257523722810066</v>
      </c>
      <c r="H34" s="41" t="n">
        <f aca="false">IFERROR(H31/H14,0)</f>
        <v>0.260864697230684</v>
      </c>
      <c r="I34" s="41" t="n">
        <f aca="false">IFERROR(I31/I14,0)</f>
        <v>0.264158532284629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283</v>
      </c>
      <c r="C2" s="5"/>
      <c r="D2" s="5"/>
      <c r="E2" s="5"/>
      <c r="F2" s="5"/>
      <c r="G2" s="5"/>
      <c r="H2" s="5"/>
      <c r="I2" s="5"/>
    </row>
    <row r="3" customFormat="false" ht="15" hidden="false" customHeight="false" outlineLevel="0" collapsed="false">
      <c r="A3" s="5"/>
      <c r="B3" s="29" t="s">
        <v>284</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0" t="s">
        <v>67</v>
      </c>
      <c r="C5" s="37" t="n">
        <f aca="false">Base_Year+0</f>
        <v>2025</v>
      </c>
      <c r="D5" s="37" t="n">
        <f aca="false">Base_Year+1</f>
        <v>2026</v>
      </c>
      <c r="E5" s="37" t="n">
        <f aca="false">Base_Year+2</f>
        <v>2027</v>
      </c>
      <c r="F5" s="37" t="n">
        <f aca="false">Base_Year+3</f>
        <v>2028</v>
      </c>
      <c r="G5" s="37" t="n">
        <f aca="false">Base_Year+4</f>
        <v>2029</v>
      </c>
      <c r="H5" s="37" t="n">
        <f aca="false">Base_Year+5</f>
        <v>2030</v>
      </c>
      <c r="I5" s="37" t="n">
        <f aca="false">Base_Year+6</f>
        <v>2031</v>
      </c>
    </row>
    <row r="6" customFormat="false" ht="15" hidden="false" customHeight="false" outlineLevel="0" collapsed="false">
      <c r="A6" s="5"/>
      <c r="B6" s="7" t="s">
        <v>202</v>
      </c>
      <c r="C6" s="38" t="n">
        <f aca="false">C5-Base_Year+1</f>
        <v>1</v>
      </c>
      <c r="D6" s="38" t="n">
        <f aca="false">D5-Base_Year+1</f>
        <v>2</v>
      </c>
      <c r="E6" s="38" t="n">
        <f aca="false">E5-Base_Year+1</f>
        <v>3</v>
      </c>
      <c r="F6" s="38" t="n">
        <f aca="false">F5-Base_Year+1</f>
        <v>4</v>
      </c>
      <c r="G6" s="38" t="n">
        <f aca="false">G5-Base_Year+1</f>
        <v>5</v>
      </c>
      <c r="H6" s="38" t="n">
        <f aca="false">H5-Base_Year+1</f>
        <v>6</v>
      </c>
      <c r="I6" s="38" t="n">
        <f aca="false">I5-Base_Year+1</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9" t="s">
        <v>285</v>
      </c>
      <c r="C8" s="16"/>
      <c r="D8" s="16"/>
      <c r="E8" s="16"/>
      <c r="F8" s="16"/>
      <c r="G8" s="16"/>
      <c r="H8" s="16"/>
      <c r="I8" s="16"/>
    </row>
    <row r="9" customFormat="false" ht="15" hidden="false" customHeight="false" outlineLevel="0" collapsed="false">
      <c r="A9" s="5"/>
      <c r="B9" s="40" t="s">
        <v>286</v>
      </c>
      <c r="C9" s="38" t="n">
        <f aca="false">Income_Statement!C$31</f>
        <v>7005308.57142857</v>
      </c>
      <c r="D9" s="38" t="n">
        <f aca="false">Income_Statement!D$31</f>
        <v>18675087.3214286</v>
      </c>
      <c r="E9" s="38" t="n">
        <f aca="false">Income_Statement!E$31</f>
        <v>27729886.7214286</v>
      </c>
      <c r="F9" s="38" t="n">
        <f aca="false">Income_Statement!F$31</f>
        <v>29582209.9676139</v>
      </c>
      <c r="G9" s="38" t="n">
        <f aca="false">Income_Statement!G$31</f>
        <v>31548536.3887577</v>
      </c>
      <c r="H9" s="38" t="n">
        <f aca="false">Income_Statement!H$31</f>
        <v>33634916.2862195</v>
      </c>
      <c r="I9" s="38" t="n">
        <f aca="false">Income_Statement!I$31</f>
        <v>35847722.2032433</v>
      </c>
    </row>
    <row r="10" customFormat="false" ht="15" hidden="false" customHeight="false" outlineLevel="0" collapsed="false">
      <c r="A10" s="5"/>
      <c r="B10" s="40" t="s">
        <v>287</v>
      </c>
      <c r="C10" s="38" t="n">
        <f aca="false">Income_Statement!C$25</f>
        <v>7983068.57142857</v>
      </c>
      <c r="D10" s="38" t="n">
        <f aca="false">Income_Statement!D$25</f>
        <v>8280833.57142857</v>
      </c>
      <c r="E10" s="38" t="n">
        <f aca="false">Income_Statement!E$25</f>
        <v>9182839.7547619</v>
      </c>
      <c r="F10" s="38" t="n">
        <f aca="false">Income_Statement!F$25</f>
        <v>10117510.6859336</v>
      </c>
      <c r="G10" s="38" t="n">
        <f aca="false">Income_Statement!G$25</f>
        <v>11086201.6913874</v>
      </c>
      <c r="H10" s="38" t="n">
        <f aca="false">Income_Statement!H$25</f>
        <v>12090330.864033</v>
      </c>
      <c r="I10" s="38" t="n">
        <f aca="false">Income_Statement!I$25</f>
        <v>13131382.1901239</v>
      </c>
    </row>
    <row r="11" customFormat="false" ht="15" hidden="false" customHeight="false" outlineLevel="0" collapsed="false">
      <c r="A11" s="5"/>
      <c r="B11" s="40" t="s">
        <v>288</v>
      </c>
      <c r="C11" s="38" t="n">
        <f aca="false">-(C6*0+Income_Statement!C$14*DSO_Days/365)</f>
        <v>-869753.424657534</v>
      </c>
      <c r="D11" s="38" t="n">
        <f aca="false">-(Income_Statement!D$14*DSO_Days/365-Income_Statement!C14*DSO_Days/365)</f>
        <v>-353938.356164383</v>
      </c>
      <c r="E11" s="38" t="n">
        <f aca="false">-(Income_Statement!E$14*DSO_Days/365-Income_Statement!D14*DSO_Days/365)</f>
        <v>-291402.123287671</v>
      </c>
      <c r="F11" s="38" t="n">
        <f aca="false">-(Income_Statement!F$14*DSO_Days/365-Income_Statement!E14*DSO_Days/365)</f>
        <v>-79444.1691986299</v>
      </c>
      <c r="G11" s="38" t="n">
        <f aca="false">-(Income_Statement!G$14*DSO_Days/365-Income_Statement!F14*DSO_Days/365)</f>
        <v>-83644.1408856511</v>
      </c>
      <c r="H11" s="38" t="n">
        <f aca="false">-(Income_Statement!H$14*DSO_Days/365-Income_Statement!G14*DSO_Days/365)</f>
        <v>-88067.8103771911</v>
      </c>
      <c r="I11" s="38" t="n">
        <f aca="false">-(Income_Statement!I$14*DSO_Days/365-Income_Statement!H14*DSO_Days/365)</f>
        <v>-92727.1716928193</v>
      </c>
    </row>
    <row r="12" customFormat="false" ht="15" hidden="false" customHeight="false" outlineLevel="0" collapsed="false">
      <c r="A12" s="5"/>
      <c r="B12" s="40" t="s">
        <v>289</v>
      </c>
      <c r="C12" s="38" t="n">
        <f aca="false">-(Operating_Costs!C$12*DIO_Days/365)</f>
        <v>-285879.452054794</v>
      </c>
      <c r="D12" s="38" t="n">
        <f aca="false">-(Operating_Costs!D$12*DIO_Days/365-Operating_Costs!C12*DIO_Days/365)</f>
        <v>-113702.05479452</v>
      </c>
      <c r="E12" s="38" t="n">
        <f aca="false">-(Operating_Costs!E$12*DIO_Days/365-Operating_Costs!D12*DIO_Days/365)</f>
        <v>-91903.7465753426</v>
      </c>
      <c r="F12" s="38" t="n">
        <f aca="false">-(Operating_Costs!F$12*DIO_Days/365-Operating_Costs!E12*DIO_Days/365)</f>
        <v>-22362.5790308218</v>
      </c>
      <c r="G12" s="38" t="n">
        <f aca="false">-(Operating_Costs!G$12*DIO_Days/365-Operating_Costs!F12*DIO_Days/365)</f>
        <v>-23380.0763767242</v>
      </c>
      <c r="H12" s="38" t="n">
        <f aca="false">-(Operating_Costs!H$12*DIO_Days/365-Operating_Costs!G12*DIO_Days/365)</f>
        <v>-24443.8698518653</v>
      </c>
      <c r="I12" s="38" t="n">
        <f aca="false">-(Operating_Costs!I$12*DIO_Days/365-Operating_Costs!H12*DIO_Days/365)</f>
        <v>-25556.0659301251</v>
      </c>
    </row>
    <row r="13" customFormat="false" ht="15" hidden="false" customHeight="false" outlineLevel="0" collapsed="false">
      <c r="A13" s="5"/>
      <c r="B13" s="40" t="s">
        <v>290</v>
      </c>
      <c r="C13" s="38" t="n">
        <f aca="false">Operating_Costs!C$12*DPO_Days/365</f>
        <v>500289.04109589</v>
      </c>
      <c r="D13" s="38" t="n">
        <f aca="false">Operating_Costs!D$12*DPO_Days/365-Operating_Costs!C12*DPO_Days/365</f>
        <v>198978.595890411</v>
      </c>
      <c r="E13" s="38" t="n">
        <f aca="false">Operating_Costs!E$12*DPO_Days/365-Operating_Costs!D12*DPO_Days/365</f>
        <v>160831.556506849</v>
      </c>
      <c r="F13" s="38" t="n">
        <f aca="false">Operating_Costs!F$12*DPO_Days/365-Operating_Costs!E12*DPO_Days/365</f>
        <v>39134.5133039382</v>
      </c>
      <c r="G13" s="38" t="n">
        <f aca="false">Operating_Costs!G$12*DPO_Days/365-Operating_Costs!F12*DPO_Days/365</f>
        <v>40915.1336592675</v>
      </c>
      <c r="H13" s="38" t="n">
        <f aca="false">Operating_Costs!H$12*DPO_Days/365-Operating_Costs!G12*DPO_Days/365</f>
        <v>42776.7722407641</v>
      </c>
      <c r="I13" s="38" t="n">
        <f aca="false">Operating_Costs!I$12*DPO_Days/365-Operating_Costs!H12*DPO_Days/365</f>
        <v>44723.1153777189</v>
      </c>
    </row>
    <row r="14" customFormat="false" ht="15" hidden="false" customHeight="false" outlineLevel="0" collapsed="false">
      <c r="A14" s="5"/>
      <c r="B14" s="42" t="s">
        <v>291</v>
      </c>
      <c r="C14" s="43" t="n">
        <f aca="false">C9+C10+C11+C12+C13</f>
        <v>14333033.3072407</v>
      </c>
      <c r="D14" s="43" t="n">
        <f aca="false">D9+D10+D11+D12+D13</f>
        <v>26687259.0777886</v>
      </c>
      <c r="E14" s="43" t="n">
        <f aca="false">E9+E10+E11+E12+E13</f>
        <v>36690252.1628343</v>
      </c>
      <c r="F14" s="43" t="n">
        <f aca="false">F9+F10+F11+F12+F13</f>
        <v>39637048.418622</v>
      </c>
      <c r="G14" s="43" t="n">
        <f aca="false">G9+G10+G11+G12+G13</f>
        <v>42568628.996542</v>
      </c>
      <c r="H14" s="43" t="n">
        <f aca="false">H9+H10+H11+H12+H13</f>
        <v>45655512.2422643</v>
      </c>
      <c r="I14" s="43" t="n">
        <f aca="false">I9+I10+I11+I12+I13</f>
        <v>48905544.2711219</v>
      </c>
    </row>
    <row r="15" customFormat="false" ht="15" hidden="false" customHeight="false" outlineLevel="0" collapsed="false">
      <c r="A15" s="5"/>
      <c r="B15" s="5"/>
      <c r="C15" s="5"/>
      <c r="D15" s="5"/>
      <c r="E15" s="5"/>
      <c r="F15" s="5"/>
      <c r="G15" s="5"/>
      <c r="H15" s="5"/>
      <c r="I15" s="5"/>
    </row>
    <row r="16" customFormat="false" ht="15" hidden="false" customHeight="false" outlineLevel="0" collapsed="false">
      <c r="A16" s="5"/>
      <c r="B16" s="39" t="s">
        <v>292</v>
      </c>
      <c r="C16" s="16"/>
      <c r="D16" s="16"/>
      <c r="E16" s="16"/>
      <c r="F16" s="16"/>
      <c r="G16" s="16"/>
      <c r="H16" s="16"/>
      <c r="I16" s="16"/>
    </row>
    <row r="17" customFormat="false" ht="15" hidden="false" customHeight="false" outlineLevel="0" collapsed="false">
      <c r="A17" s="5"/>
      <c r="B17" s="40" t="s">
        <v>154</v>
      </c>
      <c r="C17" s="38" t="n">
        <f aca="false">-Capex_Depreciation!C$18</f>
        <v>-123174600</v>
      </c>
      <c r="D17" s="38" t="n">
        <f aca="false">-Capex_Depreciation!D$18</f>
        <v>-4466475</v>
      </c>
      <c r="E17" s="38" t="n">
        <f aca="false">-Capex_Depreciation!E$18</f>
        <v>-13530092.75</v>
      </c>
      <c r="F17" s="38" t="n">
        <f aca="false">-Capex_Depreciation!F$18</f>
        <v>-14020063.967575</v>
      </c>
      <c r="G17" s="38" t="n">
        <f aca="false">-Capex_Depreciation!G$18</f>
        <v>-14530365.0818076</v>
      </c>
      <c r="H17" s="38" t="n">
        <f aca="false">-Capex_Depreciation!H$18</f>
        <v>-15061937.5896844</v>
      </c>
      <c r="I17" s="38" t="n">
        <f aca="false">-Capex_Depreciation!I$18</f>
        <v>-15615769.8913632</v>
      </c>
    </row>
    <row r="18" customFormat="false" ht="15" hidden="false" customHeight="false" outlineLevel="0" collapsed="false">
      <c r="A18" s="5"/>
      <c r="B18" s="42" t="s">
        <v>293</v>
      </c>
      <c r="C18" s="43" t="n">
        <f aca="false">C17</f>
        <v>-123174600</v>
      </c>
      <c r="D18" s="43" t="n">
        <f aca="false">D17</f>
        <v>-4466475</v>
      </c>
      <c r="E18" s="43" t="n">
        <f aca="false">E17</f>
        <v>-13530092.75</v>
      </c>
      <c r="F18" s="43" t="n">
        <f aca="false">F17</f>
        <v>-14020063.967575</v>
      </c>
      <c r="G18" s="43" t="n">
        <f aca="false">G17</f>
        <v>-14530365.0818076</v>
      </c>
      <c r="H18" s="43" t="n">
        <f aca="false">H17</f>
        <v>-15061937.5896844</v>
      </c>
      <c r="I18" s="43" t="n">
        <f aca="false">I17</f>
        <v>-15615769.8913632</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9" t="s">
        <v>294</v>
      </c>
      <c r="C20" s="16"/>
      <c r="D20" s="16"/>
      <c r="E20" s="16"/>
      <c r="F20" s="16"/>
      <c r="G20" s="16"/>
      <c r="H20" s="16"/>
      <c r="I20" s="16"/>
    </row>
    <row r="21" customFormat="false" ht="15" hidden="false" customHeight="false" outlineLevel="0" collapsed="false">
      <c r="A21" s="5"/>
      <c r="B21" s="40" t="s">
        <v>295</v>
      </c>
      <c r="C21" s="38" t="n">
        <f aca="false">IF(C6=1,Initial_Cost-Initial_Cost*Debt_LTV,0)</f>
        <v>48000000</v>
      </c>
      <c r="D21" s="38" t="n">
        <f aca="false">IF(D6=1,Initial_Cost-Initial_Cost*Debt_LTV,0)</f>
        <v>0</v>
      </c>
      <c r="E21" s="38" t="n">
        <f aca="false">IF(E6=1,Initial_Cost-Initial_Cost*Debt_LTV,0)</f>
        <v>0</v>
      </c>
      <c r="F21" s="38" t="n">
        <f aca="false">IF(F6=1,Initial_Cost-Initial_Cost*Debt_LTV,0)</f>
        <v>0</v>
      </c>
      <c r="G21" s="38" t="n">
        <f aca="false">IF(G6=1,Initial_Cost-Initial_Cost*Debt_LTV,0)</f>
        <v>0</v>
      </c>
      <c r="H21" s="38" t="n">
        <f aca="false">IF(H6=1,Initial_Cost-Initial_Cost*Debt_LTV,0)</f>
        <v>0</v>
      </c>
      <c r="I21" s="38" t="n">
        <f aca="false">IF(I6=1,Initial_Cost-Initial_Cost*Debt_LTV,0)</f>
        <v>0</v>
      </c>
    </row>
    <row r="22" customFormat="false" ht="15" hidden="false" customHeight="false" outlineLevel="0" collapsed="false">
      <c r="A22" s="5"/>
      <c r="B22" s="40" t="s">
        <v>296</v>
      </c>
      <c r="C22" s="38" t="n">
        <f aca="false">Debt_Schedule!C$9</f>
        <v>72000000</v>
      </c>
      <c r="D22" s="38" t="n">
        <f aca="false">Debt_Schedule!D$9</f>
        <v>0</v>
      </c>
      <c r="E22" s="38" t="n">
        <f aca="false">Debt_Schedule!E$9</f>
        <v>0</v>
      </c>
      <c r="F22" s="38" t="n">
        <f aca="false">Debt_Schedule!F$9</f>
        <v>0</v>
      </c>
      <c r="G22" s="38" t="n">
        <f aca="false">Debt_Schedule!G$9</f>
        <v>0</v>
      </c>
      <c r="H22" s="38" t="n">
        <f aca="false">Debt_Schedule!H$9</f>
        <v>0</v>
      </c>
      <c r="I22" s="38" t="n">
        <f aca="false">Debt_Schedule!I$9</f>
        <v>0</v>
      </c>
    </row>
    <row r="23" customFormat="false" ht="15" hidden="false" customHeight="false" outlineLevel="0" collapsed="false">
      <c r="A23" s="5"/>
      <c r="B23" s="40" t="s">
        <v>261</v>
      </c>
      <c r="C23" s="38" t="n">
        <f aca="false">-Debt_Schedule!C$13</f>
        <v>-0</v>
      </c>
      <c r="D23" s="38" t="n">
        <f aca="false">-Debt_Schedule!D$13</f>
        <v>-0</v>
      </c>
      <c r="E23" s="38" t="n">
        <f aca="false">-Debt_Schedule!E$13</f>
        <v>-3692344.11398163</v>
      </c>
      <c r="F23" s="38" t="n">
        <f aca="false">-Debt_Schedule!F$13</f>
        <v>-3730685.69826962</v>
      </c>
      <c r="G23" s="38" t="n">
        <f aca="false">-Debt_Schedule!G$13</f>
        <v>-3756181.35963793</v>
      </c>
      <c r="H23" s="38" t="n">
        <f aca="false">-Debt_Schedule!H$13</f>
        <v>-3767649.93665859</v>
      </c>
      <c r="I23" s="38" t="n">
        <f aca="false">-Debt_Schedule!I$13</f>
        <v>-3763982.94275708</v>
      </c>
    </row>
    <row r="24" customFormat="false" ht="15" hidden="false" customHeight="false" outlineLevel="0" collapsed="false">
      <c r="A24" s="5"/>
      <c r="B24" s="42" t="s">
        <v>297</v>
      </c>
      <c r="C24" s="43" t="n">
        <f aca="false">C21+C22+C23</f>
        <v>120000000</v>
      </c>
      <c r="D24" s="43" t="n">
        <f aca="false">D21+D22+D23</f>
        <v>0</v>
      </c>
      <c r="E24" s="43" t="n">
        <f aca="false">E21+E22+E23</f>
        <v>-3692344.11398163</v>
      </c>
      <c r="F24" s="43" t="n">
        <f aca="false">F21+F22+F23</f>
        <v>-3730685.69826962</v>
      </c>
      <c r="G24" s="43" t="n">
        <f aca="false">G21+G22+G23</f>
        <v>-3756181.35963793</v>
      </c>
      <c r="H24" s="43" t="n">
        <f aca="false">H21+H22+H23</f>
        <v>-3767649.93665859</v>
      </c>
      <c r="I24" s="43" t="n">
        <f aca="false">I21+I22+I23</f>
        <v>-3763982.94275708</v>
      </c>
    </row>
    <row r="25" customFormat="false" ht="15" hidden="false" customHeight="false" outlineLevel="0" collapsed="false">
      <c r="A25" s="5"/>
      <c r="B25" s="5"/>
      <c r="C25" s="5"/>
      <c r="D25" s="5"/>
      <c r="E25" s="5"/>
      <c r="F25" s="5"/>
      <c r="G25" s="5"/>
      <c r="H25" s="5"/>
      <c r="I25" s="5"/>
    </row>
    <row r="26" customFormat="false" ht="15" hidden="false" customHeight="false" outlineLevel="0" collapsed="false">
      <c r="A26" s="5"/>
      <c r="B26" s="42" t="s">
        <v>298</v>
      </c>
      <c r="C26" s="43" t="n">
        <f aca="false">C14+C18+C24</f>
        <v>11158433.3072407</v>
      </c>
      <c r="D26" s="43" t="n">
        <f aca="false">D14+D18+D24</f>
        <v>22220784.0777886</v>
      </c>
      <c r="E26" s="43" t="n">
        <f aca="false">E14+E18+E24</f>
        <v>19467815.2988527</v>
      </c>
      <c r="F26" s="43" t="n">
        <f aca="false">F14+F18+F24</f>
        <v>21886298.7527773</v>
      </c>
      <c r="G26" s="43" t="n">
        <f aca="false">G14+G18+G24</f>
        <v>24282082.5550964</v>
      </c>
      <c r="H26" s="43" t="n">
        <f aca="false">H14+H18+H24</f>
        <v>26825924.7159213</v>
      </c>
      <c r="I26" s="43" t="n">
        <f aca="false">I14+I18+I24</f>
        <v>29525791.4370017</v>
      </c>
    </row>
    <row r="27" customFormat="false" ht="15" hidden="false" customHeight="false" outlineLevel="0" collapsed="false">
      <c r="A27" s="5"/>
      <c r="B27" s="40" t="s">
        <v>299</v>
      </c>
      <c r="C27" s="38" t="n">
        <f aca="false">0</f>
        <v>0</v>
      </c>
      <c r="D27" s="38" t="n">
        <f aca="false">C28</f>
        <v>11158433.3072407</v>
      </c>
      <c r="E27" s="38" t="n">
        <f aca="false">D28</f>
        <v>33379217.3850293</v>
      </c>
      <c r="F27" s="38" t="n">
        <f aca="false">E28</f>
        <v>52847032.683882</v>
      </c>
      <c r="G27" s="38" t="n">
        <f aca="false">F28</f>
        <v>74733331.4366593</v>
      </c>
      <c r="H27" s="38" t="n">
        <f aca="false">G28</f>
        <v>99015413.9917558</v>
      </c>
      <c r="I27" s="38" t="n">
        <f aca="false">H28</f>
        <v>125841338.707677</v>
      </c>
    </row>
    <row r="28" customFormat="false" ht="15" hidden="false" customHeight="false" outlineLevel="0" collapsed="false">
      <c r="A28" s="5"/>
      <c r="B28" s="45" t="s">
        <v>300</v>
      </c>
      <c r="C28" s="46" t="n">
        <f aca="false">C27+C26</f>
        <v>11158433.3072407</v>
      </c>
      <c r="D28" s="46" t="n">
        <f aca="false">D27+D26</f>
        <v>33379217.3850293</v>
      </c>
      <c r="E28" s="46" t="n">
        <f aca="false">E27+E26</f>
        <v>52847032.683882</v>
      </c>
      <c r="F28" s="46" t="n">
        <f aca="false">F27+F26</f>
        <v>74733331.4366593</v>
      </c>
      <c r="G28" s="46" t="n">
        <f aca="false">G27+G26</f>
        <v>99015413.9917558</v>
      </c>
      <c r="H28" s="46" t="n">
        <f aca="false">H27+H26</f>
        <v>125841338.707677</v>
      </c>
      <c r="I28" s="46" t="n">
        <f aca="false">I27+I26</f>
        <v>155367130.144679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2026-05-15T18:53:58Z</dcterms:created>
  <dc:creator>openpyxl</dc:creator>
  <dc:description/>
  <dc:language>en-GB</dc:language>
  <cp:lastModifiedBy/>
  <dcterms:modified xsi:type="dcterms:W3CDTF">2026-05-15T18:53:59Z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