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Harvest_Schedule" sheetId="3" state="visible" r:id="rId5"/>
    <sheet name="Revenue" sheetId="4" state="visible" r:id="rId6"/>
    <sheet name="Costs" sheetId="5" state="visible" r:id="rId7"/>
    <sheet name="Debt_Schedule" sheetId="6" state="visible" r:id="rId8"/>
    <sheet name="Income_Statement" sheetId="7" state="visible" r:id="rId9"/>
    <sheet name="Cash_Flow" sheetId="8" state="visible" r:id="rId10"/>
    <sheet name="Valuation" sheetId="9" state="visible" r:id="rId11"/>
    <sheet name="Checks" sheetId="10" state="visible" r:id="rId12"/>
    <sheet name="Disclaimer" sheetId="11" state="visible" r:id="rId13"/>
  </sheets>
  <definedNames>
    <definedName function="false" hidden="false" name="Annual_Equity_Call" vbProcedure="false">Assumptions!$C$62</definedName>
    <definedName function="false" hidden="false" name="Carbon_Price" vbProcedure="false">Assumptions!$C$27</definedName>
    <definedName function="false" hidden="false" name="Carbon_Price_Esc" vbProcedure="false">Assumptions!$C$28</definedName>
    <definedName function="false" hidden="false" name="Carbon_Seq_Per_Ha" vbProcedure="false">Assumptions!$C$26</definedName>
    <definedName function="false" hidden="false" name="Debt_Rate" vbProcedure="false">Assumptions!$C$46</definedName>
    <definedName function="false" hidden="false" name="Dividend_Payout" vbProcedure="false">Assumptions!$C$59</definedName>
    <definedName function="false" hidden="false" name="Equity_Contribution" vbProcedure="false">Assumptions!$C$49</definedName>
    <definedName function="false" hidden="false" name="Equity_Terminal" vbProcedure="false">Assumptions!$C$54</definedName>
    <definedName function="false" hidden="false" name="FSC_Annual_Cost" vbProcedure="false">Assumptions!$C$37</definedName>
    <definedName function="false" hidden="false" name="Gearing" vbProcedure="false">Assumptions!$C$45</definedName>
    <definedName function="false" hidden="false" name="Inflation_Rate" vbProcedure="false">Assumptions!$C$38</definedName>
    <definedName function="false" hidden="false" name="Insurance_Per_Ha" vbProcedure="false">Assumptions!$C$35</definedName>
    <definedName function="false" hidden="false" name="Land_Appreciation_Rate" vbProcedure="false">Assumptions!$C$52</definedName>
    <definedName function="false" hidden="false" name="Land_Price_Per_Ha" vbProcedure="false">Assumptions!$C$40</definedName>
    <definedName function="false" hidden="false" name="Leasable_Area" vbProcedure="false">Assumptions!$C$12</definedName>
    <definedName function="false" hidden="false" name="Lease_Rate_Per_Ha" vbProcedure="false">Assumptions!$C$29</definedName>
    <definedName function="false" hidden="false" name="Loan_Tenor" vbProcedure="false">Assumptions!$C$47</definedName>
    <definedName function="false" hidden="false" name="MAI_Rate" vbProcedure="false">Assumptions!$C$14</definedName>
    <definedName function="false" hidden="false" name="Mgmt_Fee_Per_Ha" vbProcedure="false">Assumptions!$C$33</definedName>
    <definedName function="false" hidden="false" name="Model_Start_Year" vbProcedure="false">Assumptions!$C$7</definedName>
    <definedName function="false" hidden="false" name="NOL_Opening" vbProcedure="false">Assumptions!$C$57</definedName>
    <definedName function="false" hidden="false" name="Plantable_Area" vbProcedure="false">Assumptions!$C$11</definedName>
    <definedName function="false" hidden="false" name="Planting_Cost_Per_Ha" vbProcedure="false">Assumptions!$C$41</definedName>
    <definedName function="false" hidden="false" name="Prop_Tax_Per_Ha" vbProcedure="false">Assumptions!$C$34</definedName>
    <definedName function="false" hidden="false" name="Pulpwood_Pct_Clear" vbProcedure="false">Assumptions!$C$21</definedName>
    <definedName function="false" hidden="false" name="Pulpwood_Pct_Thin" vbProcedure="false">Assumptions!$C$19</definedName>
    <definedName function="false" hidden="false" name="Pulpwood_Price" vbProcedure="false">Assumptions!$C$24</definedName>
    <definedName function="false" hidden="false" name="Replant_Rate" vbProcedure="false">Assumptions!$C$32</definedName>
    <definedName function="false" hidden="false" name="Road_Capex_Per_Ha" vbProcedure="false">Assumptions!$C$42</definedName>
    <definedName function="false" hidden="false" name="Road_Cost_Per_Ha" vbProcedure="false">Assumptions!$C$36</definedName>
    <definedName function="false" hidden="false" name="Rotation_Length" vbProcedure="false">Assumptions!$C$15</definedName>
    <definedName function="false" hidden="false" name="Sawlog_Pct_Clear" vbProcedure="false">Assumptions!$C$20</definedName>
    <definedName function="false" hidden="false" name="Sawlog_Pct_Thin" vbProcedure="false">Assumptions!$C$18</definedName>
    <definedName function="false" hidden="false" name="Sawlog_Price" vbProcedure="false">Assumptions!$C$23</definedName>
    <definedName function="false" hidden="false" name="Senior_Debt_Draw" vbProcedure="false">Assumptions!$C$48</definedName>
    <definedName function="false" hidden="false" name="Silv_Cost_Per_Ha" vbProcedure="false">Assumptions!$C$31</definedName>
    <definedName function="false" hidden="false" name="Tax_Rate" vbProcedure="false">Assumptions!$C$56</definedName>
    <definedName function="false" hidden="false" name="Terminal_Land_Value" vbProcedure="false">Assumptions!$C$53</definedName>
    <definedName function="false" hidden="false" name="Thinning_Pct" vbProcedure="false">Assumptions!$C$17</definedName>
    <definedName function="false" hidden="false" name="Thinning_Start_Year" vbProcedure="false">Assumptions!$C$16</definedName>
    <definedName function="false" hidden="false" name="Timber_Price_Esc" vbProcedure="false">Assumptions!$C$25</definedName>
    <definedName function="false" hidden="false" name="Total_Area" vbProcedure="false">Assumptions!$C$10</definedName>
    <definedName function="false" hidden="false" name="Total_Capex_Y0" vbProcedure="false">Assumptions!$C$43</definedName>
    <definedName function="false" hidden="false" name="WACC" vbProcedure="false">Assumptions!$C$51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<sst xmlns="http://schemas.openxmlformats.org/spreadsheetml/2006/main" count="354" uniqueCount="293">
  <si>
    <t xml:space="preserve">Timberland Investment Model</t>
  </si>
  <si>
    <t xml:space="preserve">FINAMODEL.com</t>
  </si>
  <si>
    <t xml:space="preserve">TIMO-Style Project Finance | 25-Year Rotation</t>
  </si>
  <si>
    <t xml:space="preserve">Sheet Navigation</t>
  </si>
  <si>
    <t xml:space="preserve">Cover</t>
  </si>
  <si>
    <t xml:space="preserve">Title page and navigation</t>
  </si>
  <si>
    <t xml:space="preserve">Assumptions</t>
  </si>
  <si>
    <t xml:space="preserve">All input assumptions and named ranges</t>
  </si>
  <si>
    <t xml:space="preserve">Harvest_Schedule</t>
  </si>
  <si>
    <t xml:space="preserve">Forest inventory roll-forward and harvest volumes</t>
  </si>
  <si>
    <t xml:space="preserve">Revenue</t>
  </si>
  <si>
    <t xml:space="preserve">Timber, carbon and lease revenue build</t>
  </si>
  <si>
    <t xml:space="preserve">Costs</t>
  </si>
  <si>
    <t xml:space="preserve">Operating cost schedule</t>
  </si>
  <si>
    <t xml:space="preserve">Debt_Schedule</t>
  </si>
  <si>
    <t xml:space="preserve">Senior bullet loan — interest and repayment</t>
  </si>
  <si>
    <t xml:space="preserve">Income_Statement</t>
  </si>
  <si>
    <t xml:space="preserve">P&amp;L from revenue to net income</t>
  </si>
  <si>
    <t xml:space="preserve">Cash_Flow</t>
  </si>
  <si>
    <t xml:space="preserve">Operating, investing and financing cash flows</t>
  </si>
  <si>
    <t xml:space="preserve">Valuation</t>
  </si>
  <si>
    <t xml:space="preserve">UFCF, project IRR, equity IRR, NPV, LEV</t>
  </si>
  <si>
    <t xml:space="preserve">Checks</t>
  </si>
  <si>
    <t xml:space="preserve">Model integrity checks</t>
  </si>
  <si>
    <t xml:space="preserve">Colour Legend</t>
  </si>
  <si>
    <t xml:space="preserve">Input assumption (blue-tinted)</t>
  </si>
  <si>
    <t xml:space="preserve">Section header</t>
  </si>
  <si>
    <t xml:space="preserve">Column header</t>
  </si>
  <si>
    <t xml:space="preserve">Check / warning</t>
  </si>
  <si>
    <t xml:space="preserve">About this model</t>
  </si>
  <si>
    <t xml:space="preserve">Model a timberland investment over a 25-year rotation with thinning harvests (years 5â24), clearfell at rotation end (year 25), and revenue from carbon credits and hunting leases. The estate of 8,500 hectares planted at Mean Annual Increment (MAI) of 15 t/ha/yr generates thinning volume of ~32,000 tons annually (10% sawlog, 90% pulpwood) for $666k/year in year 5 base prices, and clearfell volume of 3.2M tons in year 25 generating $94M+ revenue at escalated prices. Stumpage prices escalate at 2% annually; carbon credits at 5%.
Costs are entirely expensed (silviculture/replanting at $120/ha effective, management fees at $15/ha, property taxes at $10/ha, insurance and road maintenance at $8/ha and $5/ha respectively). The J-curve profile shows negative cash in years 1â4, positive but thin cash in years 5â24 (after interest), and a spike in year 25 (clearfell proceeds less debt repayment). Senior debt is an interest-only bullet loan at 6.5%, amortized fully in year 25.
Returns analysis includes project IRR (unlevered), equity IRR (levered), and LEV (Long-term Earning Value) which annualizes the NPV over the infinite rotation cycle. NCREIF benchmarks show 5â8% total return (2â4% cash yield + 3â5% biological growth). Leverage is conservative (30â45% LTV); institutional investors (pension funds, sovereign wealth) target 6â7% real returns.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</si>
  <si>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</si>
  <si>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</si>
  <si>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</si>
  <si>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</si>
  <si>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All model inputs — change values in column C only</t>
  </si>
  <si>
    <t xml:space="preserve">Parameter</t>
  </si>
  <si>
    <t xml:space="preserve">Value</t>
  </si>
  <si>
    <t xml:space="preserve">Unit</t>
  </si>
  <si>
    <t xml:space="preserve">Notes / Source</t>
  </si>
  <si>
    <t xml:space="preserve">[Reserved — Scenario Toggle]</t>
  </si>
  <si>
    <t xml:space="preserve">Model Start Year</t>
  </si>
  <si>
    <t xml:space="preserve">Year</t>
  </si>
  <si>
    <t xml:space="preserve">Year 0 = 2025</t>
  </si>
  <si>
    <t xml:space="preserve">ESTATE PARAMETERS</t>
  </si>
  <si>
    <t xml:space="preserve">Total Area</t>
  </si>
  <si>
    <t xml:space="preserve">Ha</t>
  </si>
  <si>
    <t xml:space="preserve">Total land purchased</t>
  </si>
  <si>
    <t xml:space="preserve">Plantable Area</t>
  </si>
  <si>
    <t xml:space="preserve">Excludes riparian, roads, unplantable</t>
  </si>
  <si>
    <t xml:space="preserve">Leasable Area</t>
  </si>
  <si>
    <t xml:space="preserve">Available for hunting/recreation lease</t>
  </si>
  <si>
    <t xml:space="preserve">BIOLOGICAL ASSUMPTIONS</t>
  </si>
  <si>
    <t xml:space="preserve">MAI Rate</t>
  </si>
  <si>
    <t xml:space="preserve">t/ha/yr</t>
  </si>
  <si>
    <t xml:space="preserve">Mean Annual Increment (softwood)</t>
  </si>
  <si>
    <t xml:space="preserve">Rotation Length</t>
  </si>
  <si>
    <t xml:space="preserve">Years</t>
  </si>
  <si>
    <t xml:space="preserve">Final harvest year index = 25</t>
  </si>
  <si>
    <t xml:space="preserve">Thinning Start Year</t>
  </si>
  <si>
    <t xml:space="preserve">Year index</t>
  </si>
  <si>
    <t xml:space="preserve">First year thinning is active</t>
  </si>
  <si>
    <t xml:space="preserve">Thinning Pct</t>
  </si>
  <si>
    <t xml:space="preserve">%</t>
  </si>
  <si>
    <t xml:space="preserve">Annual thinning = 25% of MAI growth</t>
  </si>
  <si>
    <t xml:space="preserve">Sawlog Pct (Thin)</t>
  </si>
  <si>
    <t xml:space="preserve">Sawlog fraction of thinning harvest</t>
  </si>
  <si>
    <t xml:space="preserve">Pulpwood Pct (Thin)</t>
  </si>
  <si>
    <t xml:space="preserve">1 - Sawlog_Pct_Thin</t>
  </si>
  <si>
    <t xml:space="preserve">Sawlog Pct (Clear)</t>
  </si>
  <si>
    <t xml:space="preserve">Sawlog fraction of clearfell</t>
  </si>
  <si>
    <t xml:space="preserve">Pulpwood Pct (Clear)</t>
  </si>
  <si>
    <t xml:space="preserve">1 - Sawlog_Pct_Clear</t>
  </si>
  <si>
    <t xml:space="preserve">PRICE ASSUMPTIONS</t>
  </si>
  <si>
    <t xml:space="preserve">Sawlog Price</t>
  </si>
  <si>
    <t xml:space="preserve">$/t</t>
  </si>
  <si>
    <t xml:space="preserve">Base Year 1 stumpage price</t>
  </si>
  <si>
    <t xml:space="preserve">Pulpwood Price</t>
  </si>
  <si>
    <t xml:space="preserve">Timber Price Esc</t>
  </si>
  <si>
    <t xml:space="preserve">% pa</t>
  </si>
  <si>
    <t xml:space="preserve">Annual timber price escalation</t>
  </si>
  <si>
    <t xml:space="preserve">Carbon Seq Per Ha</t>
  </si>
  <si>
    <t xml:space="preserve">tCO2e/ha/yr</t>
  </si>
  <si>
    <t xml:space="preserve">Eligible VCM carbon sequestration</t>
  </si>
  <si>
    <t xml:space="preserve">Carbon Price</t>
  </si>
  <si>
    <t xml:space="preserve">$/tCO2e</t>
  </si>
  <si>
    <t xml:space="preserve">Base Year 1 VCM carbon price</t>
  </si>
  <si>
    <t xml:space="preserve">Carbon Price Esc</t>
  </si>
  <si>
    <t xml:space="preserve">Annual carbon price escalation</t>
  </si>
  <si>
    <t xml:space="preserve">Lease Rate Per Ha</t>
  </si>
  <si>
    <t xml:space="preserve">$/ha/yr</t>
  </si>
  <si>
    <t xml:space="preserve">Base Year 1 hunting/recreation lease</t>
  </si>
  <si>
    <t xml:space="preserve">COST ASSUMPTIONS</t>
  </si>
  <si>
    <t xml:space="preserve">Silv Cost Per Ha</t>
  </si>
  <si>
    <t xml:space="preserve">$/ha</t>
  </si>
  <si>
    <t xml:space="preserve">Site prep + seedlings + planting</t>
  </si>
  <si>
    <t xml:space="preserve">Replant Rate</t>
  </si>
  <si>
    <t xml:space="preserve">Fraction of plantable area replanted annually</t>
  </si>
  <si>
    <t xml:space="preserve">Mgmt Fee Per Ha</t>
  </si>
  <si>
    <t xml:space="preserve">TIMO outsourced management</t>
  </si>
  <si>
    <t xml:space="preserve">Prop Tax Per Ha</t>
  </si>
  <si>
    <t xml:space="preserve">Annual property tax on full estate</t>
  </si>
  <si>
    <t xml:space="preserve">Insurance Per Ha</t>
  </si>
  <si>
    <t xml:space="preserve">Fire, wind, pest insurance</t>
  </si>
  <si>
    <t xml:space="preserve">Road Cost Per Ha</t>
  </si>
  <si>
    <t xml:space="preserve">Annual road maintenance (expensed)</t>
  </si>
  <si>
    <t xml:space="preserve">FSC Annual Cost</t>
  </si>
  <si>
    <t xml:space="preserve">$</t>
  </si>
  <si>
    <t xml:space="preserve">FSC/PEFC certification annual cost</t>
  </si>
  <si>
    <t xml:space="preserve">Inflation Rate</t>
  </si>
  <si>
    <t xml:space="preserve">Annual cost escalation</t>
  </si>
  <si>
    <t xml:space="preserve">CAPEX ASSUMPTIONS</t>
  </si>
  <si>
    <t xml:space="preserve">Land Price Per Ha</t>
  </si>
  <si>
    <t xml:space="preserve">Bare land acquisition cost</t>
  </si>
  <si>
    <t xml:space="preserve">Planting Cost Per Ha</t>
  </si>
  <si>
    <t xml:space="preserve">Initial planting (Year 0 only)</t>
  </si>
  <si>
    <t xml:space="preserve">Road Capex Per Ha</t>
  </si>
  <si>
    <t xml:space="preserve">Road construction (Year 0 only)</t>
  </si>
  <si>
    <t xml:space="preserve">Total Capex (Year 0)</t>
  </si>
  <si>
    <t xml:space="preserve">Land + Planting + Roads</t>
  </si>
  <si>
    <t xml:space="preserve">DEBT ASSUMPTIONS</t>
  </si>
  <si>
    <t xml:space="preserve">Gearing</t>
  </si>
  <si>
    <t xml:space="preserve">Senior debt / Total Capex</t>
  </si>
  <si>
    <t xml:space="preserve">Debt Rate</t>
  </si>
  <si>
    <t xml:space="preserve">All-in interest rate</t>
  </si>
  <si>
    <t xml:space="preserve">Loan Tenor</t>
  </si>
  <si>
    <t xml:space="preserve">Bullet repayment at Year 25</t>
  </si>
  <si>
    <t xml:space="preserve">Senior Debt Draw</t>
  </si>
  <si>
    <t xml:space="preserve">Total_Capex_Y0 x Gearing</t>
  </si>
  <si>
    <t xml:space="preserve">Equity Contribution</t>
  </si>
  <si>
    <t xml:space="preserve">Total_Capex_Y0 - Senior_Debt_Draw</t>
  </si>
  <si>
    <t xml:space="preserve">RETURN ASSUMPTIONS</t>
  </si>
  <si>
    <t xml:space="preserve">WACC</t>
  </si>
  <si>
    <t xml:space="preserve">Project discount rate</t>
  </si>
  <si>
    <t xml:space="preserve">Land Appreciation Rate</t>
  </si>
  <si>
    <t xml:space="preserve">Real annual land appreciation</t>
  </si>
  <si>
    <t xml:space="preserve">Terminal Land Value</t>
  </si>
  <si>
    <t xml:space="preserve">Land x (1+appreciation)^25</t>
  </si>
  <si>
    <t xml:space="preserve">Equity Terminal Value</t>
  </si>
  <si>
    <t xml:space="preserve">Terminal_Land_Value - Senior_Debt_Draw</t>
  </si>
  <si>
    <t xml:space="preserve">TAX ASSUMPTIONS</t>
  </si>
  <si>
    <t xml:space="preserve">Tax Rate</t>
  </si>
  <si>
    <t xml:space="preserve">Corporate income tax rate</t>
  </si>
  <si>
    <t xml:space="preserve">NOL Opening</t>
  </si>
  <si>
    <t xml:space="preserve">Opening tax loss carry-forward</t>
  </si>
  <si>
    <t xml:space="preserve">DIVIDEND ASSUMPTION</t>
  </si>
  <si>
    <t xml:space="preserve">Dividend Payout</t>
  </si>
  <si>
    <t xml:space="preserve">100% NI distributed (TIMO structure)</t>
  </si>
  <si>
    <t xml:space="preserve">EQUITY CAPITAL CALLS</t>
  </si>
  <si>
    <t xml:space="preserve">Annual Equity Call</t>
  </si>
  <si>
    <t xml:space="preserve">Equity injected each year Y1-Y24 to fund pre-clearfell carrying costs</t>
  </si>
  <si>
    <t xml:space="preserve">Harvest Schedule</t>
  </si>
  <si>
    <t xml:space="preserve">Forest inventory roll-forward | Annual growth, thinning, clearfell</t>
  </si>
  <si>
    <t xml:space="preserve">ANNUAL HARVEST FLOWS</t>
  </si>
  <si>
    <t xml:space="preserve">Annual Growth (t)</t>
  </si>
  <si>
    <t xml:space="preserve">Thinning Volume (t)</t>
  </si>
  <si>
    <t xml:space="preserve">Clearfell Volume (t)</t>
  </si>
  <si>
    <t xml:space="preserve">Total Harvest (t)</t>
  </si>
  <si>
    <t xml:space="preserve">INVENTORY ROLL-FORWARD</t>
  </si>
  <si>
    <t xml:space="preserve">Opening Volume (t)</t>
  </si>
  <si>
    <t xml:space="preserve">  + Annual Growth</t>
  </si>
  <si>
    <t xml:space="preserve">  - Thinning Removal</t>
  </si>
  <si>
    <t xml:space="preserve">  - Clearfell Removal</t>
  </si>
  <si>
    <t xml:space="preserve">Closing Volume (t)</t>
  </si>
  <si>
    <t xml:space="preserve">Inventory Check</t>
  </si>
  <si>
    <t xml:space="preserve">Timber (sawlog + pulpwood), carbon credits and recreation lease</t>
  </si>
  <si>
    <t xml:space="preserve">ESCALATED PRICES</t>
  </si>
  <si>
    <t xml:space="preserve">Sawlog Price ($/t)</t>
  </si>
  <si>
    <t xml:space="preserve">Pulpwood Price ($/t)</t>
  </si>
  <si>
    <t xml:space="preserve">Carbon Price ($/tCO2e)</t>
  </si>
  <si>
    <t xml:space="preserve">Lease Rate ($/ha/yr)</t>
  </si>
  <si>
    <t xml:space="preserve">THINNING REVENUE</t>
  </si>
  <si>
    <t xml:space="preserve">  Thinning Sawlog</t>
  </si>
  <si>
    <t xml:space="preserve">  Thinning Pulpwood</t>
  </si>
  <si>
    <t xml:space="preserve">Thinning Revenue</t>
  </si>
  <si>
    <t xml:space="preserve">CLEARFELL REVENUE</t>
  </si>
  <si>
    <t xml:space="preserve">  Clearfell Sawlog</t>
  </si>
  <si>
    <t xml:space="preserve">  Clearfell Pulpwood</t>
  </si>
  <si>
    <t xml:space="preserve">Clearfell Revenue</t>
  </si>
  <si>
    <t xml:space="preserve">OTHER REVENUE</t>
  </si>
  <si>
    <t xml:space="preserve">  Carbon Credits</t>
  </si>
  <si>
    <t xml:space="preserve">  Recreation Lease</t>
  </si>
  <si>
    <t xml:space="preserve">TOTAL REVENUE</t>
  </si>
  <si>
    <t xml:space="preserve">Operating Costs</t>
  </si>
  <si>
    <t xml:space="preserve">Silviculture, management, taxes, insurance, roads, certification</t>
  </si>
  <si>
    <t xml:space="preserve">ANNUAL OPERATING COSTS</t>
  </si>
  <si>
    <t xml:space="preserve">  Silviculture</t>
  </si>
  <si>
    <t xml:space="preserve">  Management Fee</t>
  </si>
  <si>
    <t xml:space="preserve">  Property Taxes</t>
  </si>
  <si>
    <t xml:space="preserve">  Insurance</t>
  </si>
  <si>
    <t xml:space="preserve">  Road Maintenance</t>
  </si>
  <si>
    <t xml:space="preserve">  FSC Certification</t>
  </si>
  <si>
    <t xml:space="preserve">TOTAL COSTS</t>
  </si>
  <si>
    <t xml:space="preserve">Debt Schedule</t>
  </si>
  <si>
    <t xml:space="preserve">Senior secured bullet loan — interest-only Years 1-24, full repayment Year 25</t>
  </si>
  <si>
    <t xml:space="preserve">SENIOR BULLET LOAN</t>
  </si>
  <si>
    <t xml:space="preserve">Opening Balance</t>
  </si>
  <si>
    <t xml:space="preserve">Debt Draw</t>
  </si>
  <si>
    <t xml:space="preserve">Interest Expense</t>
  </si>
  <si>
    <t xml:space="preserve">Principal Repayment</t>
  </si>
  <si>
    <t xml:space="preserve">Closing Balance</t>
  </si>
  <si>
    <t xml:space="preserve">Income Statement</t>
  </si>
  <si>
    <t xml:space="preserve">Revenue to Net Income | 25-Year projection</t>
  </si>
  <si>
    <t xml:space="preserve">REVENUE</t>
  </si>
  <si>
    <t xml:space="preserve">Total Revenue</t>
  </si>
  <si>
    <t xml:space="preserve">OPERATING COSTS</t>
  </si>
  <si>
    <t xml:space="preserve">Total Costs</t>
  </si>
  <si>
    <t xml:space="preserve">EBITDA</t>
  </si>
  <si>
    <t xml:space="preserve">EBITDA Margin</t>
  </si>
  <si>
    <t xml:space="preserve">DEPRECIATION &amp; AMORTISATION</t>
  </si>
  <si>
    <t xml:space="preserve">Depreciation &amp; Amort.</t>
  </si>
  <si>
    <t xml:space="preserve">EBIT</t>
  </si>
  <si>
    <t xml:space="preserve">INTEREST</t>
  </si>
  <si>
    <t xml:space="preserve">EBT</t>
  </si>
  <si>
    <t xml:space="preserve">TAX</t>
  </si>
  <si>
    <t xml:space="preserve">  NOL Addition</t>
  </si>
  <si>
    <t xml:space="preserve">  NOL Utilised</t>
  </si>
  <si>
    <t xml:space="preserve">  NOL Closing</t>
  </si>
  <si>
    <t xml:space="preserve">  Taxable Income</t>
  </si>
  <si>
    <t xml:space="preserve">  Tax</t>
  </si>
  <si>
    <t xml:space="preserve">NET INCOME</t>
  </si>
  <si>
    <t xml:space="preserve">DIVIDENDS</t>
  </si>
  <si>
    <t xml:space="preserve">Dividends</t>
  </si>
  <si>
    <t xml:space="preserve">Cash Flow Statement</t>
  </si>
  <si>
    <t xml:space="preserve">Operating | Investing | Financing | Net change</t>
  </si>
  <si>
    <t xml:space="preserve">OPERATING ACTIVITIES</t>
  </si>
  <si>
    <t xml:space="preserve">  Net Income</t>
  </si>
  <si>
    <t xml:space="preserve">  Add: D&amp;A</t>
  </si>
  <si>
    <t xml:space="preserve">  Change in Working Capital</t>
  </si>
  <si>
    <t xml:space="preserve">Cash from Operations</t>
  </si>
  <si>
    <t xml:space="preserve">INVESTING ACTIVITIES</t>
  </si>
  <si>
    <t xml:space="preserve">  Land Acquisition</t>
  </si>
  <si>
    <t xml:space="preserve">  Initial Planting</t>
  </si>
  <si>
    <t xml:space="preserve">  Road Construction</t>
  </si>
  <si>
    <t xml:space="preserve">Cash from Investing</t>
  </si>
  <si>
    <t xml:space="preserve">FINANCING ACTIVITIES</t>
  </si>
  <si>
    <t xml:space="preserve">  Debt Draw</t>
  </si>
  <si>
    <t xml:space="preserve">  Equity Contribution / Capital Calls</t>
  </si>
  <si>
    <t xml:space="preserve">  Debt Repayment</t>
  </si>
  <si>
    <t xml:space="preserve">  Dividends Paid</t>
  </si>
  <si>
    <t xml:space="preserve">Cash from Financing</t>
  </si>
  <si>
    <t xml:space="preserve">NET CHANGE IN CASH</t>
  </si>
  <si>
    <t xml:space="preserve">Net Change in Cash</t>
  </si>
  <si>
    <t xml:space="preserve">Opening Cash</t>
  </si>
  <si>
    <t xml:space="preserve">Closing Cash</t>
  </si>
  <si>
    <t xml:space="preserve">Unlevered FCF | Project IRR | Equity IRR | NPV | LEV</t>
  </si>
  <si>
    <t xml:space="preserve">UNLEVERED FREE CASH FLOW</t>
  </si>
  <si>
    <t xml:space="preserve">Tax on EBIT (unlevered)</t>
  </si>
  <si>
    <t xml:space="preserve">UFCF (Operations)</t>
  </si>
  <si>
    <t xml:space="preserve">Capex (Year 0 only)</t>
  </si>
  <si>
    <t xml:space="preserve">UFCF</t>
  </si>
  <si>
    <t xml:space="preserve">PROJECT IRR &amp; NPV</t>
  </si>
  <si>
    <t xml:space="preserve">Project IRR</t>
  </si>
  <si>
    <t xml:space="preserve">Project NPV</t>
  </si>
  <si>
    <t xml:space="preserve">EQUITY CASH FLOW &amp; EQUITY IRR</t>
  </si>
  <si>
    <t xml:space="preserve">Equity Cash Flow</t>
  </si>
  <si>
    <t xml:space="preserve">Equity IRR</t>
  </si>
  <si>
    <t xml:space="preserve">LAND EXPECTATION VALUE (LEV)</t>
  </si>
  <si>
    <t xml:space="preserve">LEV ($/ha)</t>
  </si>
  <si>
    <t xml:space="preserve">Model Checks</t>
  </si>
  <si>
    <t xml:space="preserve">Pass/fail integrity checks — all should show PASS</t>
  </si>
  <si>
    <t xml:space="preserve">Check</t>
  </si>
  <si>
    <t xml:space="preserve">Result</t>
  </si>
  <si>
    <t xml:space="preserve">Expected</t>
  </si>
  <si>
    <t xml:space="preserve">Harvest &gt;= 0 (no deficit)</t>
  </si>
  <si>
    <t xml:space="preserve">PASS</t>
  </si>
  <si>
    <t xml:space="preserve">Closing Cash &gt;= 0</t>
  </si>
  <si>
    <t xml:space="preserve">Project IRR numeric</t>
  </si>
  <si>
    <t xml:space="preserve">Equity IRR numeric</t>
  </si>
  <si>
    <t xml:space="preserve">IS Rev ties to Revenue Y1</t>
  </si>
  <si>
    <t xml:space="preserve">Debt repaid at Year 25</t>
  </si>
  <si>
    <t xml:space="preserve">Equity = Capex - Debt</t>
  </si>
  <si>
    <t xml:space="preserve">Y25 inventory cleared (closing ~0)</t>
  </si>
  <si>
    <t xml:space="preserve">IRR sign change exists</t>
  </si>
  <si>
    <t xml:space="preserve">EBITDA coverage Y25</t>
  </si>
  <si>
    <t xml:space="preserve">Loan tenor = rotation length</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</si>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</sst>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4">
    <numFmt numFmtId="164" formatCode="General"/>
    <numFmt numFmtId="165" formatCode="0.00%"/>
    <numFmt numFmtId="166" formatCode="#,##0.00"/>
    <numFmt numFmtId="167" formatCode="0"/>
  </numFmts>
  <fonts count="25">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0"/>
      <color theme="0"/>
      <name val="Arial"/>
      <family val="0"/>
      <charset val="1"/>
    </font>
    <font>
      <b val="true"/>
      <sz val="10"/>
      <color rgb="FF000000"/>
      <name val="Arial"/>
      <family val="0"/>
      <charset val="1"/>
    </font>
    <font>
      <sz val="10"/>
      <color rgb="FF000000"/>
      <name val="Arial"/>
      <family val="0"/>
      <charset val="1"/>
    </font>
    <font>
      <sz val="11"/>
      <color theme="1"/>
      <name val="Calibri"/>
      <family val="2"/>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theme="3"/>
      <name val="Arial"/>
      <family val="0"/>
      <charset val="1"/>
    </font>
    <font>
      <i val="true"/>
      <sz val="10"/>
      <color rgb="FF595959"/>
      <name val="Arial"/>
      <family val="0"/>
      <charset val="1"/>
    </font>
    <font>
      <sz val="10"/>
      <color theme="3"/>
      <name val="Arial"/>
      <family val="0"/>
      <charset val="1"/>
    </font>
    <font>
      <b val="true"/>
      <sz val="10"/>
      <color theme="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9">
    <fill>
      <patternFill patternType="none"/>
    </fill>
    <fill>
      <patternFill patternType="gray125"/>
    </fill>
    <fill>
      <patternFill patternType="solid">
        <fgColor theme="3"/>
        <bgColor rgb="FF1F4E79"/>
      </patternFill>
    </fill>
    <fill>
      <patternFill patternType="solid">
        <fgColor rgb="FFEBF3FB"/>
        <bgColor rgb="FFF2F2F2"/>
      </patternFill>
    </fill>
    <fill>
      <patternFill patternType="solid">
        <fgColor theme="3" tint="0.8"/>
        <bgColor rgb="FFD6E4F0"/>
      </patternFill>
    </fill>
    <fill>
      <patternFill patternType="solid">
        <fgColor rgb="FFFF0000"/>
        <bgColor rgb="FF993300"/>
      </patternFill>
    </fill>
    <fill>
      <patternFill patternType="solid">
        <fgColor rgb="FFD6E4F0"/>
        <bgColor rgb="FFC6D9F1"/>
      </patternFill>
    </fill>
    <fill>
      <patternFill patternType="solid">
        <fgColor rgb="FF1F4E79"/>
        <bgColor rgb="FF1F497D"/>
      </patternFill>
    </fill>
    <fill>
      <patternFill patternType="solid">
        <fgColor rgb="FFF2F2F2"/>
        <bgColor rgb="FFEBF3FB"/>
      </patternFill>
    </fill>
  </fills>
  <borders count="4">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11" fillId="6" borderId="0" xfId="0" applyFont="true" applyBorder="false" applyAlignment="true" applyProtection="false">
      <alignment horizontal="left" vertical="center" textRotation="0" wrapText="false" indent="0" shrinkToFit="false"/>
      <protection locked="true" hidden="false"/>
    </xf>
    <xf numFmtId="164" fontId="10" fillId="6"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4"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3" borderId="0" xfId="0" applyFont="true" applyBorder="false" applyAlignment="true" applyProtection="false">
      <alignment horizontal="right" vertical="center"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5" fontId="17" fillId="3" borderId="0" xfId="0" applyFont="true" applyBorder="fals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6" fontId="9" fillId="3" borderId="0" xfId="0" applyFont="true" applyBorder="false" applyAlignment="true" applyProtection="false">
      <alignment horizontal="right" vertical="center" textRotation="0" wrapText="false" indent="0" shrinkToFit="false"/>
      <protection locked="true" hidden="false"/>
    </xf>
    <xf numFmtId="167" fontId="15" fillId="4" borderId="0" xfId="0" applyFont="true" applyBorder="false" applyAlignment="true" applyProtection="false">
      <alignment horizontal="center" vertical="center" textRotation="0" wrapText="false" indent="0" shrinkToFit="false"/>
      <protection locked="true" hidden="false"/>
    </xf>
    <xf numFmtId="167" fontId="9" fillId="0" borderId="0" xfId="0" applyFont="true" applyBorder="false" applyAlignment="true" applyProtection="false">
      <alignment horizontal="center" vertical="center" textRotation="0" wrapText="false" indent="0" shrinkToFit="false"/>
      <protection locked="true" hidden="false"/>
    </xf>
    <xf numFmtId="164" fontId="18" fillId="2" borderId="0" xfId="0" applyFont="true" applyBorder="false" applyAlignment="true" applyProtection="false">
      <alignment horizontal="left" vertical="center" textRotation="0" wrapText="false" indent="1" shrinkToFit="false"/>
      <protection locked="true" hidden="false"/>
    </xf>
    <xf numFmtId="164" fontId="9" fillId="0" borderId="0" xfId="0" applyFont="true" applyBorder="false" applyAlignment="true" applyProtection="false">
      <alignment horizontal="left" vertical="center" textRotation="0" wrapText="false" indent="1" shrinkToFit="false"/>
      <protection locked="true" hidden="false"/>
    </xf>
    <xf numFmtId="166" fontId="8" fillId="0" borderId="1"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6" fontId="8" fillId="0" borderId="2" xfId="0" applyFont="true" applyBorder="true" applyAlignment="true" applyProtection="false">
      <alignment horizontal="right" vertical="center" textRotation="0" wrapText="false" indent="0" shrinkToFit="false"/>
      <protection locked="true" hidden="false"/>
    </xf>
    <xf numFmtId="164" fontId="18" fillId="5" borderId="0" xfId="0" applyFont="true" applyBorder="false" applyAlignment="true" applyProtection="false">
      <alignment horizontal="left" vertical="center" textRotation="0" wrapText="false" indent="1" shrinkToFit="false"/>
      <protection locked="true" hidden="false"/>
    </xf>
    <xf numFmtId="166" fontId="8" fillId="0" borderId="0" xfId="0" applyFont="true" applyBorder="false" applyAlignment="true" applyProtection="false">
      <alignment horizontal="righ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10" fillId="0" borderId="3" xfId="0" applyFont="true" applyBorder="true" applyAlignment="false" applyProtection="false">
      <alignment horizontal="general" vertical="bottom" textRotation="0" wrapText="false" indent="0" shrinkToFit="false"/>
      <protection locked="true" hidden="false"/>
    </xf>
    <xf numFmtId="164" fontId="20" fillId="7" borderId="0" xfId="0" applyFont="true" applyBorder="false" applyAlignment="true" applyProtection="false">
      <alignment horizontal="left" vertical="center" textRotation="0" wrapText="false" indent="1" shrinkToFit="false"/>
      <protection locked="true" hidden="false"/>
    </xf>
    <xf numFmtId="164" fontId="21" fillId="0"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3" fillId="8"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3FB"/>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3" min="3" style="0" width="4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row>
    <row r="6" customFormat="false" ht="15" hidden="false" customHeight="false" outlineLevel="0" collapsed="false">
      <c r="B6" s="6" t="s">
        <v>4</v>
      </c>
      <c r="C6" s="6" t="s">
        <v>5</v>
      </c>
    </row>
    <row r="7" customFormat="false" ht="15" hidden="false" customHeight="false" outlineLevel="0" collapsed="false">
      <c r="B7" s="6" t="s">
        <v>6</v>
      </c>
      <c r="C7" s="6" t="s">
        <v>7</v>
      </c>
    </row>
    <row r="8" customFormat="false" ht="15" hidden="false" customHeight="false" outlineLevel="0" collapsed="false">
      <c r="B8" s="6" t="s">
        <v>8</v>
      </c>
      <c r="C8" s="6" t="s">
        <v>9</v>
      </c>
    </row>
    <row r="9" customFormat="false" ht="15" hidden="false" customHeight="false" outlineLevel="0" collapsed="false">
      <c r="B9" s="6" t="s">
        <v>10</v>
      </c>
      <c r="C9" s="6" t="s">
        <v>11</v>
      </c>
    </row>
    <row r="10" customFormat="false" ht="15" hidden="false" customHeight="false" outlineLevel="0" collapsed="false">
      <c r="B10" s="6" t="s">
        <v>12</v>
      </c>
      <c r="C10" s="6" t="s">
        <v>13</v>
      </c>
    </row>
    <row r="11" customFormat="false" ht="15" hidden="false" customHeight="false" outlineLevel="0" collapsed="false">
      <c r="B11" s="6" t="s">
        <v>14</v>
      </c>
      <c r="C11" s="6" t="s">
        <v>15</v>
      </c>
    </row>
    <row r="12" customFormat="false" ht="15" hidden="false" customHeight="false" outlineLevel="0" collapsed="false">
      <c r="B12" s="6" t="s">
        <v>16</v>
      </c>
      <c r="C12" s="6" t="s">
        <v>17</v>
      </c>
    </row>
    <row r="13" customFormat="false" ht="15" hidden="false" customHeight="false" outlineLevel="0" collapsed="false">
      <c r="B13" s="6" t="s">
        <v>18</v>
      </c>
      <c r="C13" s="6" t="s">
        <v>19</v>
      </c>
    </row>
    <row r="14" customFormat="false" ht="15" hidden="false" customHeight="false" outlineLevel="0" collapsed="false">
      <c r="B14" s="6" t="s">
        <v>20</v>
      </c>
      <c r="C14" s="6" t="s">
        <v>21</v>
      </c>
    </row>
    <row r="15" customFormat="false" ht="15" hidden="false" customHeight="false" outlineLevel="0" collapsed="false">
      <c r="B15" s="6" t="s">
        <v>22</v>
      </c>
      <c r="C15" s="6" t="s">
        <v>23</v>
      </c>
    </row>
    <row r="17" customFormat="false" ht="15" hidden="false" customHeight="false" outlineLevel="0" collapsed="false">
      <c r="B17" s="5" t="s">
        <v>24</v>
      </c>
    </row>
    <row r="18" customFormat="false" ht="15" hidden="false" customHeight="false" outlineLevel="0" collapsed="false">
      <c r="B18" s="7"/>
      <c r="C18" s="6" t="s">
        <v>25</v>
      </c>
    </row>
    <row r="19" customFormat="false" ht="15" hidden="false" customHeight="false" outlineLevel="0" collapsed="false">
      <c r="B19" s="8"/>
      <c r="C19" s="6" t="s">
        <v>26</v>
      </c>
    </row>
    <row r="20" customFormat="false" ht="15" hidden="false" customHeight="false" outlineLevel="0" collapsed="false">
      <c r="B20" s="9"/>
      <c r="C20" s="6" t="s">
        <v>27</v>
      </c>
    </row>
    <row r="21" customFormat="false" ht="15" hidden="false" customHeight="false" outlineLevel="0" collapsed="false">
      <c r="B21" s="10"/>
      <c r="C21" s="6" t="s">
        <v>28</v>
      </c>
    </row>
    <row r="24" customFormat="false" ht="19.5" hidden="false" customHeight="true" outlineLevel="0" collapsed="false">
      <c r="B24" s="11" t="s">
        <v>29</v>
      </c>
      <c r="C24" s="12"/>
      <c r="D24" s="12"/>
      <c r="E24" s="12"/>
      <c r="F24" s="12"/>
      <c r="G24" s="12"/>
    </row>
    <row r="25" customFormat="false" ht="208.5" hidden="false" customHeight="true" outlineLevel="0" collapsed="false">
      <c r="B25" s="13" t="s">
        <v>30</v>
      </c>
      <c r="C25" s="13"/>
      <c r="D25" s="13"/>
      <c r="E25" s="13"/>
      <c r="F25" s="13"/>
      <c r="G25" s="13"/>
    </row>
    <row r="27" customFormat="false" ht="19.5" hidden="false" customHeight="true" outlineLevel="0" collapsed="false">
      <c r="B27" s="11" t="s">
        <v>31</v>
      </c>
      <c r="C27" s="12"/>
      <c r="D27" s="12"/>
      <c r="E27" s="12"/>
      <c r="F27" s="12"/>
      <c r="G27" s="12"/>
    </row>
    <row r="28" customFormat="false" ht="57" hidden="false" customHeight="true" outlineLevel="0" collapsed="false">
      <c r="B28" s="13" t="s">
        <v>32</v>
      </c>
      <c r="C28" s="13"/>
      <c r="D28" s="13"/>
      <c r="E28" s="13"/>
      <c r="F28" s="13"/>
      <c r="G28" s="13"/>
    </row>
    <row r="29" customFormat="false" ht="15" hidden="false" customHeight="false" outlineLevel="0" collapsed="false">
      <c r="B29" s="14" t="s">
        <v>33</v>
      </c>
      <c r="C29" s="14"/>
      <c r="D29" s="14"/>
      <c r="E29" s="14"/>
      <c r="F29" s="14"/>
      <c r="G29" s="14"/>
    </row>
    <row r="30" customFormat="false" ht="15" hidden="false" customHeight="false" outlineLevel="0" collapsed="false">
      <c r="B30" s="15" t="s">
        <v>34</v>
      </c>
    </row>
  </sheetData>
  <mergeCells count="3">
    <mergeCell ref="B25:G25"/>
    <mergeCell ref="B28:G28"/>
    <mergeCell ref="B29:G29"/>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5"/>
    <col collapsed="false" customWidth="true" hidden="false" outlineLevel="0" max="3" min="3" style="0" width="55"/>
    <col collapsed="false" customWidth="true" hidden="false" outlineLevel="0" max="4" min="4"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259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260</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261</v>
      </c>
      <c r="C4" s="16" t="s">
        <v>262</v>
      </c>
      <c r="D4" s="16" t="s">
        <v>263</v>
      </c>
    </row>
    <row r="5" customFormat="false" ht="15" hidden="false" customHeight="false" outlineLevel="0" collapsed="false">
      <c r="B5" s="6" t="s">
        <v>264</v>
      </c>
      <c r="C5" s="26" t="str">
        <f aca="false">IF(MIN(Harvest_Schedule!C17:AB17)&gt;=0,"PASS","FAIL: Inventory Deficit")</f>
        <v>PASS</v>
      </c>
      <c r="D5" s="28" t="s">
        <v>265</v>
      </c>
    </row>
    <row r="6" customFormat="false" ht="15" hidden="false" customHeight="false" outlineLevel="0" collapsed="false">
      <c r="B6" s="6" t="s">
        <v>266</v>
      </c>
      <c r="C6" s="26" t="str">
        <f aca="false">IF(MIN(Cash_Flow!C26:AB26)&gt;=0,"PASS","WARNING: Negative Cash")</f>
        <v>PASS</v>
      </c>
      <c r="D6" s="28" t="s">
        <v>265</v>
      </c>
    </row>
    <row r="7" customFormat="false" ht="15" hidden="false" customHeight="false" outlineLevel="0" collapsed="false">
      <c r="B7" s="6" t="s">
        <v>267</v>
      </c>
      <c r="C7" s="26" t="str">
        <f aca="false">IF(ISERROR(Valuation!C16),"FAIL: IRR Error","PASS")</f>
        <v>PASS</v>
      </c>
      <c r="D7" s="28" t="s">
        <v>265</v>
      </c>
    </row>
    <row r="8" customFormat="false" ht="15" hidden="false" customHeight="false" outlineLevel="0" collapsed="false">
      <c r="B8" s="6" t="s">
        <v>268</v>
      </c>
      <c r="C8" s="26" t="str">
        <f aca="false">IF(ISERROR(Valuation!C23),"FAIL: IRR Error","PASS")</f>
        <v>PASS</v>
      </c>
      <c r="D8" s="28" t="s">
        <v>265</v>
      </c>
    </row>
    <row r="9" customFormat="false" ht="15" hidden="false" customHeight="false" outlineLevel="0" collapsed="false">
      <c r="B9" s="6" t="s">
        <v>269</v>
      </c>
      <c r="C9" s="26" t="str">
        <f aca="false">IF(ABS(Income_Statement!D8-Revenue!D24)&lt;1,"PASS","FAIL: Rev Mismatch")</f>
        <v>PASS</v>
      </c>
      <c r="D9" s="28" t="s">
        <v>265</v>
      </c>
    </row>
    <row r="10" customFormat="false" ht="15" hidden="false" customHeight="false" outlineLevel="0" collapsed="false">
      <c r="B10" s="6" t="s">
        <v>270</v>
      </c>
      <c r="C10" s="26" t="str">
        <f aca="false">IF(ABS(Debt_Schedule!AB12)&lt;1,"PASS","FAIL: Debt Outstanding")</f>
        <v>PASS</v>
      </c>
      <c r="D10" s="28" t="s">
        <v>265</v>
      </c>
    </row>
    <row r="11" customFormat="false" ht="15" hidden="false" customHeight="false" outlineLevel="0" collapsed="false">
      <c r="B11" s="6" t="s">
        <v>271</v>
      </c>
      <c r="C11" s="26" t="str">
        <f aca="false">IF(ABS(Equity_Contribution-(Total_Capex_Y0-Senior_Debt_Draw))&lt;1,"PASS","FAIL")</f>
        <v>PASS</v>
      </c>
      <c r="D11" s="28" t="s">
        <v>265</v>
      </c>
    </row>
    <row r="12" customFormat="false" ht="15" hidden="false" customHeight="false" outlineLevel="0" collapsed="false">
      <c r="B12" s="6" t="s">
        <v>272</v>
      </c>
      <c r="C12" s="26" t="str">
        <f aca="false">IF(ABS(Harvest_Schedule!AB17)&lt;1,"PASS","FAIL: Inventory Not Cleared")</f>
        <v>PASS</v>
      </c>
      <c r="D12" s="28" t="s">
        <v>265</v>
      </c>
    </row>
    <row r="13" customFormat="false" ht="15" hidden="false" customHeight="false" outlineLevel="0" collapsed="false">
      <c r="B13" s="6" t="s">
        <v>273</v>
      </c>
      <c r="C13" s="26" t="str">
        <f aca="false">IF(AND(MIN(Valuation!C13:AB13)&lt;0,MAX(Valuation!C13:AB13)&gt;0),"PASS","FAIL: No Sign Change")</f>
        <v>PASS</v>
      </c>
      <c r="D13" s="28" t="s">
        <v>265</v>
      </c>
    </row>
    <row r="14" customFormat="false" ht="15" hidden="false" customHeight="false" outlineLevel="0" collapsed="false">
      <c r="B14" s="6" t="s">
        <v>274</v>
      </c>
      <c r="C14" s="26" t="str">
        <f aca="false">IF(Income_Statement!AB18/Debt_Schedule!AB10&gt;=1,"PASS","WARN: Low Coverage")</f>
        <v>PASS</v>
      </c>
      <c r="D14" s="28" t="s">
        <v>265</v>
      </c>
    </row>
    <row r="15" customFormat="false" ht="15" hidden="false" customHeight="false" outlineLevel="0" collapsed="false">
      <c r="B15" s="6" t="s">
        <v>275</v>
      </c>
      <c r="C15" s="26" t="str">
        <f aca="false">IF(Loan_Tenor=Rotation_Length,"PASS","WARN: Tenor mismatch")</f>
        <v>PASS</v>
      </c>
      <c r="D15" s="28" t="s">
        <v>265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3" t="s">
        <v>276</v>
      </c>
    </row>
    <row r="3" customFormat="false" ht="3.75" hidden="false" customHeight="true" outlineLevel="0" collapsed="false">
      <c r="B3" s="34"/>
    </row>
    <row r="5" customFormat="false" ht="19.5" hidden="false" customHeight="true" outlineLevel="0" collapsed="false">
      <c r="B5" s="35" t="s">
        <v>277</v>
      </c>
    </row>
    <row r="6" customFormat="false" ht="48" hidden="false" customHeight="true" outlineLevel="0" collapsed="false">
      <c r="B6" s="36" t="s">
        <v>278</v>
      </c>
    </row>
    <row r="8" customFormat="false" ht="19.5" hidden="false" customHeight="true" outlineLevel="0" collapsed="false">
      <c r="B8" s="35" t="s">
        <v>279</v>
      </c>
    </row>
    <row r="9" customFormat="false" ht="61.5" hidden="false" customHeight="true" outlineLevel="0" collapsed="false">
      <c r="B9" s="36" t="s">
        <v>280</v>
      </c>
    </row>
    <row r="11" customFormat="false" ht="19.5" hidden="false" customHeight="true" outlineLevel="0" collapsed="false">
      <c r="B11" s="35" t="s">
        <v>281</v>
      </c>
    </row>
    <row r="12" customFormat="false" ht="75.75" hidden="false" customHeight="true" outlineLevel="0" collapsed="false">
      <c r="B12" s="36" t="s">
        <v>282</v>
      </c>
    </row>
    <row r="14" customFormat="false" ht="19.5" hidden="false" customHeight="true" outlineLevel="0" collapsed="false">
      <c r="B14" s="35" t="s">
        <v>283</v>
      </c>
    </row>
    <row r="15" customFormat="false" ht="61.5" hidden="false" customHeight="true" outlineLevel="0" collapsed="false">
      <c r="B15" s="36" t="s">
        <v>284</v>
      </c>
    </row>
    <row r="17" customFormat="false" ht="19.5" hidden="false" customHeight="true" outlineLevel="0" collapsed="false">
      <c r="B17" s="35" t="s">
        <v>285</v>
      </c>
    </row>
    <row r="18" customFormat="false" ht="33.75" hidden="false" customHeight="true" outlineLevel="0" collapsed="false">
      <c r="B18" s="36" t="s">
        <v>286</v>
      </c>
    </row>
    <row r="20" customFormat="false" ht="19.5" hidden="false" customHeight="true" outlineLevel="0" collapsed="false">
      <c r="B20" s="35" t="s">
        <v>287</v>
      </c>
    </row>
    <row r="21" customFormat="false" ht="33.75" hidden="false" customHeight="true" outlineLevel="0" collapsed="false">
      <c r="B21" s="36" t="s">
        <v>288</v>
      </c>
    </row>
    <row r="23" customFormat="false" ht="21.75" hidden="false" customHeight="true" outlineLevel="0" collapsed="false">
      <c r="B23" s="37" t="s">
        <v>289</v>
      </c>
    </row>
    <row r="25" customFormat="false" ht="18" hidden="false" customHeight="true" outlineLevel="0" collapsed="false">
      <c r="B25" s="38" t="s">
        <v>290</v>
      </c>
    </row>
    <row r="26" customFormat="false" ht="201.75" hidden="false" customHeight="true" outlineLevel="0" collapsed="false">
      <c r="B26" s="39" t="s">
        <v>291</v>
      </c>
    </row>
    <row r="28" customFormat="false" ht="18" hidden="false" customHeight="true" outlineLevel="0" collapsed="false">
      <c r="B28" s="40" t="s">
        <v>292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6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3" min="3" style="0" width="20"/>
    <col collapsed="false" customWidth="true" hidden="false" outlineLevel="0" max="4" min="4" style="0" width="14"/>
    <col collapsed="false" customWidth="true" hidden="false" outlineLevel="0" max="5" min="5" style="0" width="4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35</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36</v>
      </c>
      <c r="C4" s="16" t="s">
        <v>37</v>
      </c>
      <c r="D4" s="16" t="s">
        <v>38</v>
      </c>
      <c r="E4" s="16" t="s">
        <v>39</v>
      </c>
    </row>
    <row r="5" customFormat="false" ht="15" hidden="false" customHeight="false" outlineLevel="0" collapsed="false">
      <c r="B5" s="17" t="s">
        <v>40</v>
      </c>
    </row>
    <row r="7" customFormat="false" ht="15" hidden="false" customHeight="false" outlineLevel="0" collapsed="false">
      <c r="B7" s="6" t="s">
        <v>41</v>
      </c>
      <c r="C7" s="18" t="n">
        <v>2025</v>
      </c>
      <c r="D7" s="6" t="s">
        <v>42</v>
      </c>
      <c r="E7" s="6" t="s">
        <v>43</v>
      </c>
    </row>
    <row r="9" customFormat="false" ht="15" hidden="false" customHeight="false" outlineLevel="0" collapsed="false">
      <c r="B9" s="19" t="s">
        <v>44</v>
      </c>
      <c r="C9" s="8"/>
      <c r="D9" s="8"/>
      <c r="E9" s="8"/>
    </row>
    <row r="10" customFormat="false" ht="15" hidden="false" customHeight="false" outlineLevel="0" collapsed="false">
      <c r="B10" s="6" t="s">
        <v>45</v>
      </c>
      <c r="C10" s="18" t="n">
        <v>10000</v>
      </c>
      <c r="D10" s="6" t="s">
        <v>46</v>
      </c>
      <c r="E10" s="6" t="s">
        <v>47</v>
      </c>
    </row>
    <row r="11" customFormat="false" ht="15" hidden="false" customHeight="false" outlineLevel="0" collapsed="false">
      <c r="B11" s="6" t="s">
        <v>48</v>
      </c>
      <c r="C11" s="18" t="n">
        <v>8500</v>
      </c>
      <c r="D11" s="6" t="s">
        <v>46</v>
      </c>
      <c r="E11" s="6" t="s">
        <v>49</v>
      </c>
    </row>
    <row r="12" customFormat="false" ht="15" hidden="false" customHeight="false" outlineLevel="0" collapsed="false">
      <c r="B12" s="6" t="s">
        <v>50</v>
      </c>
      <c r="C12" s="18" t="n">
        <v>7000</v>
      </c>
      <c r="D12" s="6" t="s">
        <v>46</v>
      </c>
      <c r="E12" s="6" t="s">
        <v>51</v>
      </c>
    </row>
    <row r="13" customFormat="false" ht="15" hidden="false" customHeight="false" outlineLevel="0" collapsed="false">
      <c r="B13" s="19" t="s">
        <v>52</v>
      </c>
      <c r="C13" s="8"/>
      <c r="D13" s="8"/>
      <c r="E13" s="8"/>
    </row>
    <row r="14" customFormat="false" ht="15" hidden="false" customHeight="false" outlineLevel="0" collapsed="false">
      <c r="B14" s="6" t="s">
        <v>53</v>
      </c>
      <c r="C14" s="18" t="n">
        <v>15</v>
      </c>
      <c r="D14" s="6" t="s">
        <v>54</v>
      </c>
      <c r="E14" s="6" t="s">
        <v>55</v>
      </c>
    </row>
    <row r="15" customFormat="false" ht="15" hidden="false" customHeight="false" outlineLevel="0" collapsed="false">
      <c r="B15" s="6" t="s">
        <v>56</v>
      </c>
      <c r="C15" s="18" t="n">
        <v>25</v>
      </c>
      <c r="D15" s="6" t="s">
        <v>57</v>
      </c>
      <c r="E15" s="6" t="s">
        <v>58</v>
      </c>
    </row>
    <row r="16" customFormat="false" ht="15" hidden="false" customHeight="false" outlineLevel="0" collapsed="false">
      <c r="B16" s="6" t="s">
        <v>59</v>
      </c>
      <c r="C16" s="18" t="n">
        <v>5</v>
      </c>
      <c r="D16" s="6" t="s">
        <v>60</v>
      </c>
      <c r="E16" s="6" t="s">
        <v>61</v>
      </c>
    </row>
    <row r="17" customFormat="false" ht="15" hidden="false" customHeight="false" outlineLevel="0" collapsed="false">
      <c r="B17" s="6" t="s">
        <v>62</v>
      </c>
      <c r="C17" s="20" t="n">
        <v>0.25</v>
      </c>
      <c r="D17" s="6" t="s">
        <v>63</v>
      </c>
      <c r="E17" s="6" t="s">
        <v>64</v>
      </c>
    </row>
    <row r="18" customFormat="false" ht="15" hidden="false" customHeight="false" outlineLevel="0" collapsed="false">
      <c r="B18" s="6" t="s">
        <v>65</v>
      </c>
      <c r="C18" s="20" t="n">
        <v>0.1</v>
      </c>
      <c r="D18" s="6" t="s">
        <v>63</v>
      </c>
      <c r="E18" s="6" t="s">
        <v>66</v>
      </c>
    </row>
    <row r="19" customFormat="false" ht="15" hidden="false" customHeight="false" outlineLevel="0" collapsed="false">
      <c r="B19" s="6" t="s">
        <v>67</v>
      </c>
      <c r="C19" s="20" t="n">
        <v>0.9</v>
      </c>
      <c r="D19" s="6" t="s">
        <v>63</v>
      </c>
      <c r="E19" s="6" t="s">
        <v>68</v>
      </c>
    </row>
    <row r="20" customFormat="false" ht="15" hidden="false" customHeight="false" outlineLevel="0" collapsed="false">
      <c r="B20" s="6" t="s">
        <v>69</v>
      </c>
      <c r="C20" s="20" t="n">
        <v>0.65</v>
      </c>
      <c r="D20" s="6" t="s">
        <v>63</v>
      </c>
      <c r="E20" s="6" t="s">
        <v>70</v>
      </c>
    </row>
    <row r="21" customFormat="false" ht="15" hidden="false" customHeight="false" outlineLevel="0" collapsed="false">
      <c r="B21" s="6" t="s">
        <v>71</v>
      </c>
      <c r="C21" s="20" t="n">
        <v>0.35</v>
      </c>
      <c r="D21" s="6" t="s">
        <v>63</v>
      </c>
      <c r="E21" s="6" t="s">
        <v>72</v>
      </c>
    </row>
    <row r="22" customFormat="false" ht="15" hidden="false" customHeight="false" outlineLevel="0" collapsed="false">
      <c r="B22" s="19" t="s">
        <v>73</v>
      </c>
      <c r="C22" s="8"/>
      <c r="D22" s="8"/>
      <c r="E22" s="8"/>
    </row>
    <row r="23" customFormat="false" ht="15" hidden="false" customHeight="false" outlineLevel="0" collapsed="false">
      <c r="B23" s="6" t="s">
        <v>74</v>
      </c>
      <c r="C23" s="18" t="n">
        <v>47</v>
      </c>
      <c r="D23" s="6" t="s">
        <v>75</v>
      </c>
      <c r="E23" s="6" t="s">
        <v>76</v>
      </c>
    </row>
    <row r="24" customFormat="false" ht="15" hidden="false" customHeight="false" outlineLevel="0" collapsed="false">
      <c r="B24" s="6" t="s">
        <v>77</v>
      </c>
      <c r="C24" s="18" t="n">
        <v>18</v>
      </c>
      <c r="D24" s="6" t="s">
        <v>75</v>
      </c>
      <c r="E24" s="6" t="s">
        <v>76</v>
      </c>
    </row>
    <row r="25" customFormat="false" ht="15" hidden="false" customHeight="false" outlineLevel="0" collapsed="false">
      <c r="B25" s="6" t="s">
        <v>78</v>
      </c>
      <c r="C25" s="20" t="n">
        <v>0.02</v>
      </c>
      <c r="D25" s="6" t="s">
        <v>79</v>
      </c>
      <c r="E25" s="6" t="s">
        <v>80</v>
      </c>
    </row>
    <row r="26" customFormat="false" ht="15" hidden="false" customHeight="false" outlineLevel="0" collapsed="false">
      <c r="B26" s="6" t="s">
        <v>81</v>
      </c>
      <c r="C26" s="18" t="n">
        <v>1.5</v>
      </c>
      <c r="D26" s="6" t="s">
        <v>82</v>
      </c>
      <c r="E26" s="6" t="s">
        <v>83</v>
      </c>
    </row>
    <row r="27" customFormat="false" ht="15" hidden="false" customHeight="false" outlineLevel="0" collapsed="false">
      <c r="B27" s="6" t="s">
        <v>84</v>
      </c>
      <c r="C27" s="18" t="n">
        <v>20</v>
      </c>
      <c r="D27" s="6" t="s">
        <v>85</v>
      </c>
      <c r="E27" s="6" t="s">
        <v>86</v>
      </c>
    </row>
    <row r="28" customFormat="false" ht="15" hidden="false" customHeight="false" outlineLevel="0" collapsed="false">
      <c r="B28" s="6" t="s">
        <v>87</v>
      </c>
      <c r="C28" s="20" t="n">
        <v>0.05</v>
      </c>
      <c r="D28" s="6" t="s">
        <v>79</v>
      </c>
      <c r="E28" s="6" t="s">
        <v>88</v>
      </c>
    </row>
    <row r="29" customFormat="false" ht="15" hidden="false" customHeight="false" outlineLevel="0" collapsed="false">
      <c r="B29" s="6" t="s">
        <v>89</v>
      </c>
      <c r="C29" s="18" t="n">
        <v>8</v>
      </c>
      <c r="D29" s="6" t="s">
        <v>90</v>
      </c>
      <c r="E29" s="6" t="s">
        <v>91</v>
      </c>
    </row>
    <row r="30" customFormat="false" ht="15" hidden="false" customHeight="false" outlineLevel="0" collapsed="false">
      <c r="B30" s="19" t="s">
        <v>92</v>
      </c>
      <c r="C30" s="8"/>
      <c r="D30" s="8"/>
      <c r="E30" s="8"/>
    </row>
    <row r="31" customFormat="false" ht="15" hidden="false" customHeight="false" outlineLevel="0" collapsed="false">
      <c r="B31" s="6" t="s">
        <v>93</v>
      </c>
      <c r="C31" s="18" t="n">
        <v>1200</v>
      </c>
      <c r="D31" s="6" t="s">
        <v>94</v>
      </c>
      <c r="E31" s="6" t="s">
        <v>95</v>
      </c>
    </row>
    <row r="32" customFormat="false" ht="15" hidden="false" customHeight="false" outlineLevel="0" collapsed="false">
      <c r="B32" s="6" t="s">
        <v>96</v>
      </c>
      <c r="C32" s="20" t="n">
        <v>0.1</v>
      </c>
      <c r="D32" s="6" t="s">
        <v>63</v>
      </c>
      <c r="E32" s="6" t="s">
        <v>97</v>
      </c>
    </row>
    <row r="33" customFormat="false" ht="15" hidden="false" customHeight="false" outlineLevel="0" collapsed="false">
      <c r="B33" s="6" t="s">
        <v>98</v>
      </c>
      <c r="C33" s="18" t="n">
        <v>15</v>
      </c>
      <c r="D33" s="6" t="s">
        <v>90</v>
      </c>
      <c r="E33" s="6" t="s">
        <v>99</v>
      </c>
    </row>
    <row r="34" customFormat="false" ht="15" hidden="false" customHeight="false" outlineLevel="0" collapsed="false">
      <c r="B34" s="6" t="s">
        <v>100</v>
      </c>
      <c r="C34" s="18" t="n">
        <v>10</v>
      </c>
      <c r="D34" s="6" t="s">
        <v>90</v>
      </c>
      <c r="E34" s="6" t="s">
        <v>101</v>
      </c>
    </row>
    <row r="35" customFormat="false" ht="15" hidden="false" customHeight="false" outlineLevel="0" collapsed="false">
      <c r="B35" s="6" t="s">
        <v>102</v>
      </c>
      <c r="C35" s="18" t="n">
        <v>8</v>
      </c>
      <c r="D35" s="6" t="s">
        <v>90</v>
      </c>
      <c r="E35" s="6" t="s">
        <v>103</v>
      </c>
    </row>
    <row r="36" customFormat="false" ht="15" hidden="false" customHeight="false" outlineLevel="0" collapsed="false">
      <c r="B36" s="6" t="s">
        <v>104</v>
      </c>
      <c r="C36" s="18" t="n">
        <v>5</v>
      </c>
      <c r="D36" s="6" t="s">
        <v>90</v>
      </c>
      <c r="E36" s="6" t="s">
        <v>105</v>
      </c>
    </row>
    <row r="37" customFormat="false" ht="15" hidden="false" customHeight="false" outlineLevel="0" collapsed="false">
      <c r="B37" s="6" t="s">
        <v>106</v>
      </c>
      <c r="C37" s="18" t="n">
        <v>25000</v>
      </c>
      <c r="D37" s="6" t="s">
        <v>107</v>
      </c>
      <c r="E37" s="6" t="s">
        <v>108</v>
      </c>
    </row>
    <row r="38" customFormat="false" ht="15" hidden="false" customHeight="false" outlineLevel="0" collapsed="false">
      <c r="B38" s="6" t="s">
        <v>109</v>
      </c>
      <c r="C38" s="20" t="n">
        <v>0.025</v>
      </c>
      <c r="D38" s="6" t="s">
        <v>79</v>
      </c>
      <c r="E38" s="6" t="s">
        <v>110</v>
      </c>
    </row>
    <row r="39" customFormat="false" ht="15" hidden="false" customHeight="false" outlineLevel="0" collapsed="false">
      <c r="B39" s="19" t="s">
        <v>111</v>
      </c>
      <c r="C39" s="8"/>
      <c r="D39" s="8"/>
      <c r="E39" s="8"/>
    </row>
    <row r="40" customFormat="false" ht="15" hidden="false" customHeight="false" outlineLevel="0" collapsed="false">
      <c r="B40" s="6" t="s">
        <v>112</v>
      </c>
      <c r="C40" s="18" t="n">
        <v>2500</v>
      </c>
      <c r="D40" s="6" t="s">
        <v>94</v>
      </c>
      <c r="E40" s="6" t="s">
        <v>113</v>
      </c>
    </row>
    <row r="41" customFormat="false" ht="15" hidden="false" customHeight="false" outlineLevel="0" collapsed="false">
      <c r="B41" s="6" t="s">
        <v>114</v>
      </c>
      <c r="C41" s="18" t="n">
        <v>1200</v>
      </c>
      <c r="D41" s="6" t="s">
        <v>94</v>
      </c>
      <c r="E41" s="6" t="s">
        <v>115</v>
      </c>
    </row>
    <row r="42" customFormat="false" ht="15" hidden="false" customHeight="false" outlineLevel="0" collapsed="false">
      <c r="B42" s="6" t="s">
        <v>116</v>
      </c>
      <c r="C42" s="18" t="n">
        <v>250</v>
      </c>
      <c r="D42" s="6" t="s">
        <v>94</v>
      </c>
      <c r="E42" s="6" t="s">
        <v>117</v>
      </c>
    </row>
    <row r="43" customFormat="false" ht="15" hidden="false" customHeight="false" outlineLevel="0" collapsed="false">
      <c r="B43" s="6" t="s">
        <v>118</v>
      </c>
      <c r="C43" s="21" t="n">
        <f aca="false">Total_Area*Land_Price_Per_Ha+Plantable_Area*Planting_Cost_Per_Ha+Total_Area*Road_Capex_Per_Ha</f>
        <v>37700000</v>
      </c>
      <c r="D43" s="6" t="s">
        <v>107</v>
      </c>
      <c r="E43" s="6" t="s">
        <v>119</v>
      </c>
    </row>
    <row r="44" customFormat="false" ht="15" hidden="false" customHeight="false" outlineLevel="0" collapsed="false">
      <c r="B44" s="19" t="s">
        <v>120</v>
      </c>
      <c r="C44" s="8"/>
      <c r="D44" s="8"/>
      <c r="E44" s="8"/>
    </row>
    <row r="45" customFormat="false" ht="15" hidden="false" customHeight="false" outlineLevel="0" collapsed="false">
      <c r="B45" s="6" t="s">
        <v>121</v>
      </c>
      <c r="C45" s="20" t="n">
        <v>0.4</v>
      </c>
      <c r="D45" s="6" t="s">
        <v>63</v>
      </c>
      <c r="E45" s="6" t="s">
        <v>122</v>
      </c>
    </row>
    <row r="46" customFormat="false" ht="15" hidden="false" customHeight="false" outlineLevel="0" collapsed="false">
      <c r="B46" s="6" t="s">
        <v>123</v>
      </c>
      <c r="C46" s="20" t="n">
        <v>0.065</v>
      </c>
      <c r="D46" s="6" t="s">
        <v>79</v>
      </c>
      <c r="E46" s="6" t="s">
        <v>124</v>
      </c>
    </row>
    <row r="47" customFormat="false" ht="15" hidden="false" customHeight="false" outlineLevel="0" collapsed="false">
      <c r="B47" s="6" t="s">
        <v>125</v>
      </c>
      <c r="C47" s="18" t="n">
        <v>25</v>
      </c>
      <c r="D47" s="6" t="s">
        <v>57</v>
      </c>
      <c r="E47" s="6" t="s">
        <v>126</v>
      </c>
    </row>
    <row r="48" customFormat="false" ht="15" hidden="false" customHeight="false" outlineLevel="0" collapsed="false">
      <c r="B48" s="6" t="s">
        <v>127</v>
      </c>
      <c r="C48" s="21" t="n">
        <f aca="false">Total_Capex_Y0*Gearing</f>
        <v>15080000</v>
      </c>
      <c r="D48" s="6" t="s">
        <v>107</v>
      </c>
      <c r="E48" s="6" t="s">
        <v>128</v>
      </c>
    </row>
    <row r="49" customFormat="false" ht="15" hidden="false" customHeight="false" outlineLevel="0" collapsed="false">
      <c r="B49" s="6" t="s">
        <v>129</v>
      </c>
      <c r="C49" s="21" t="n">
        <f aca="false">Total_Capex_Y0-Senior_Debt_Draw</f>
        <v>22620000</v>
      </c>
      <c r="D49" s="6" t="s">
        <v>107</v>
      </c>
      <c r="E49" s="6" t="s">
        <v>130</v>
      </c>
    </row>
    <row r="50" customFormat="false" ht="15" hidden="false" customHeight="false" outlineLevel="0" collapsed="false">
      <c r="B50" s="19" t="s">
        <v>131</v>
      </c>
      <c r="C50" s="8"/>
      <c r="D50" s="8"/>
      <c r="E50" s="8"/>
    </row>
    <row r="51" customFormat="false" ht="15" hidden="false" customHeight="false" outlineLevel="0" collapsed="false">
      <c r="B51" s="6" t="s">
        <v>132</v>
      </c>
      <c r="C51" s="20" t="n">
        <v>0.075</v>
      </c>
      <c r="D51" s="6" t="s">
        <v>63</v>
      </c>
      <c r="E51" s="6" t="s">
        <v>133</v>
      </c>
    </row>
    <row r="52" customFormat="false" ht="15" hidden="false" customHeight="false" outlineLevel="0" collapsed="false">
      <c r="B52" s="6" t="s">
        <v>134</v>
      </c>
      <c r="C52" s="20" t="n">
        <v>0.015</v>
      </c>
      <c r="D52" s="6" t="s">
        <v>79</v>
      </c>
      <c r="E52" s="6" t="s">
        <v>135</v>
      </c>
    </row>
    <row r="53" customFormat="false" ht="15" hidden="false" customHeight="false" outlineLevel="0" collapsed="false">
      <c r="B53" s="6" t="s">
        <v>136</v>
      </c>
      <c r="C53" s="21" t="n">
        <f aca="false">Total_Area*Land_Price_Per_Ha*(1+Land_Appreciation_Rate)^Rotation_Length</f>
        <v>36273633.8526989</v>
      </c>
      <c r="D53" s="6" t="s">
        <v>107</v>
      </c>
      <c r="E53" s="6" t="s">
        <v>137</v>
      </c>
    </row>
    <row r="54" customFormat="false" ht="15" hidden="false" customHeight="false" outlineLevel="0" collapsed="false">
      <c r="B54" s="6" t="s">
        <v>138</v>
      </c>
      <c r="C54" s="21" t="n">
        <f aca="false">Terminal_Land_Value-Senior_Debt_Draw</f>
        <v>21193633.8526989</v>
      </c>
      <c r="D54" s="6" t="s">
        <v>107</v>
      </c>
      <c r="E54" s="6" t="s">
        <v>139</v>
      </c>
    </row>
    <row r="55" customFormat="false" ht="15" hidden="false" customHeight="false" outlineLevel="0" collapsed="false">
      <c r="B55" s="19" t="s">
        <v>140</v>
      </c>
      <c r="C55" s="8"/>
      <c r="D55" s="8"/>
      <c r="E55" s="8"/>
    </row>
    <row r="56" customFormat="false" ht="15" hidden="false" customHeight="false" outlineLevel="0" collapsed="false">
      <c r="B56" s="6" t="s">
        <v>141</v>
      </c>
      <c r="C56" s="20" t="n">
        <v>0.21</v>
      </c>
      <c r="D56" s="6" t="s">
        <v>63</v>
      </c>
      <c r="E56" s="6" t="s">
        <v>142</v>
      </c>
    </row>
    <row r="57" customFormat="false" ht="15" hidden="false" customHeight="false" outlineLevel="0" collapsed="false">
      <c r="B57" s="6" t="s">
        <v>143</v>
      </c>
      <c r="C57" s="18" t="n">
        <v>0</v>
      </c>
      <c r="D57" s="6" t="s">
        <v>107</v>
      </c>
      <c r="E57" s="6" t="s">
        <v>144</v>
      </c>
    </row>
    <row r="58" customFormat="false" ht="15" hidden="false" customHeight="false" outlineLevel="0" collapsed="false">
      <c r="B58" s="19" t="s">
        <v>145</v>
      </c>
      <c r="C58" s="8"/>
      <c r="D58" s="8"/>
      <c r="E58" s="8"/>
    </row>
    <row r="59" customFormat="false" ht="15" hidden="false" customHeight="false" outlineLevel="0" collapsed="false">
      <c r="B59" s="6" t="s">
        <v>146</v>
      </c>
      <c r="C59" s="20" t="n">
        <v>1</v>
      </c>
      <c r="D59" s="6" t="s">
        <v>63</v>
      </c>
      <c r="E59" s="6" t="s">
        <v>147</v>
      </c>
    </row>
    <row r="61" customFormat="false" ht="15" hidden="false" customHeight="false" outlineLevel="0" collapsed="false">
      <c r="B61" s="19" t="s">
        <v>148</v>
      </c>
      <c r="C61" s="8"/>
      <c r="D61" s="8"/>
      <c r="E61" s="8"/>
    </row>
    <row r="62" customFormat="false" ht="15" hidden="false" customHeight="false" outlineLevel="0" collapsed="false">
      <c r="B62" s="6" t="s">
        <v>149</v>
      </c>
      <c r="C62" s="22" t="n">
        <f aca="false">Total_Area*Mgmt_Fee_Per_Ha+Total_Area*Prop_Tax_Per_Ha+Total_Area*Insurance_Per_Ha+Total_Area*Road_Cost_Per_Ha+FSC_Annual_Cost+Plantable_Area*Silv_Cost_Per_Ha*Replant_Rate+Senior_Debt_Draw*Debt_Rate</f>
        <v>2405200</v>
      </c>
      <c r="D62" s="6" t="s">
        <v>107</v>
      </c>
      <c r="E62" s="6" t="s">
        <v>150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28"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152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C5" s="23" t="n">
        <f aca="false">Model_Start_Year+0</f>
        <v>2025</v>
      </c>
      <c r="D5" s="23" t="n">
        <f aca="false">Model_Start_Year+1</f>
        <v>2026</v>
      </c>
      <c r="E5" s="23" t="n">
        <f aca="false">Model_Start_Year+2</f>
        <v>2027</v>
      </c>
      <c r="F5" s="23" t="n">
        <f aca="false">Model_Start_Year+3</f>
        <v>2028</v>
      </c>
      <c r="G5" s="23" t="n">
        <f aca="false">Model_Start_Year+4</f>
        <v>2029</v>
      </c>
      <c r="H5" s="23" t="n">
        <f aca="false">Model_Start_Year+5</f>
        <v>2030</v>
      </c>
      <c r="I5" s="23" t="n">
        <f aca="false">Model_Start_Year+6</f>
        <v>2031</v>
      </c>
      <c r="J5" s="23" t="n">
        <f aca="false">Model_Start_Year+7</f>
        <v>2032</v>
      </c>
      <c r="K5" s="23" t="n">
        <f aca="false">Model_Start_Year+8</f>
        <v>2033</v>
      </c>
      <c r="L5" s="23" t="n">
        <f aca="false">Model_Start_Year+9</f>
        <v>2034</v>
      </c>
      <c r="M5" s="23" t="n">
        <f aca="false">Model_Start_Year+10</f>
        <v>2035</v>
      </c>
      <c r="N5" s="23" t="n">
        <f aca="false">Model_Start_Year+11</f>
        <v>2036</v>
      </c>
      <c r="O5" s="23" t="n">
        <f aca="false">Model_Start_Year+12</f>
        <v>2037</v>
      </c>
      <c r="P5" s="23" t="n">
        <f aca="false">Model_Start_Year+13</f>
        <v>2038</v>
      </c>
      <c r="Q5" s="23" t="n">
        <f aca="false">Model_Start_Year+14</f>
        <v>2039</v>
      </c>
      <c r="R5" s="23" t="n">
        <f aca="false">Model_Start_Year+15</f>
        <v>2040</v>
      </c>
      <c r="S5" s="23" t="n">
        <f aca="false">Model_Start_Year+16</f>
        <v>2041</v>
      </c>
      <c r="T5" s="23" t="n">
        <f aca="false">Model_Start_Year+17</f>
        <v>2042</v>
      </c>
      <c r="U5" s="23" t="n">
        <f aca="false">Model_Start_Year+18</f>
        <v>2043</v>
      </c>
      <c r="V5" s="23" t="n">
        <f aca="false">Model_Start_Year+19</f>
        <v>2044</v>
      </c>
      <c r="W5" s="23" t="n">
        <f aca="false">Model_Start_Year+20</f>
        <v>2045</v>
      </c>
      <c r="X5" s="23" t="n">
        <f aca="false">Model_Start_Year+21</f>
        <v>2046</v>
      </c>
      <c r="Y5" s="23" t="n">
        <f aca="false">Model_Start_Year+22</f>
        <v>2047</v>
      </c>
      <c r="Z5" s="23" t="n">
        <f aca="false">Model_Start_Year+23</f>
        <v>2048</v>
      </c>
      <c r="AA5" s="23" t="n">
        <f aca="false">Model_Start_Year+24</f>
        <v>2049</v>
      </c>
      <c r="AB5" s="23" t="n">
        <f aca="false">Model_Start_Year+25</f>
        <v>2050</v>
      </c>
    </row>
    <row r="6" customFormat="false" ht="15" hidden="false" customHeight="false" outlineLevel="0" collapsed="false">
      <c r="C6" s="24" t="n">
        <v>0</v>
      </c>
      <c r="D6" s="24" t="n">
        <v>1</v>
      </c>
      <c r="E6" s="24" t="n">
        <v>2</v>
      </c>
      <c r="F6" s="24" t="n">
        <v>3</v>
      </c>
      <c r="G6" s="24" t="n">
        <v>4</v>
      </c>
      <c r="H6" s="24" t="n">
        <v>5</v>
      </c>
      <c r="I6" s="24" t="n">
        <v>6</v>
      </c>
      <c r="J6" s="24" t="n">
        <v>7</v>
      </c>
      <c r="K6" s="24" t="n">
        <v>8</v>
      </c>
      <c r="L6" s="24" t="n">
        <v>9</v>
      </c>
      <c r="M6" s="24" t="n">
        <v>10</v>
      </c>
      <c r="N6" s="24" t="n">
        <v>11</v>
      </c>
      <c r="O6" s="24" t="n">
        <v>12</v>
      </c>
      <c r="P6" s="24" t="n">
        <v>13</v>
      </c>
      <c r="Q6" s="24" t="n">
        <v>14</v>
      </c>
      <c r="R6" s="24" t="n">
        <v>15</v>
      </c>
      <c r="S6" s="24" t="n">
        <v>16</v>
      </c>
      <c r="T6" s="24" t="n">
        <v>17</v>
      </c>
      <c r="U6" s="24" t="n">
        <v>18</v>
      </c>
      <c r="V6" s="24" t="n">
        <v>19</v>
      </c>
      <c r="W6" s="24" t="n">
        <v>20</v>
      </c>
      <c r="X6" s="24" t="n">
        <v>21</v>
      </c>
      <c r="Y6" s="24" t="n">
        <v>22</v>
      </c>
      <c r="Z6" s="24" t="n">
        <v>23</v>
      </c>
      <c r="AA6" s="24" t="n">
        <v>24</v>
      </c>
      <c r="AB6" s="24" t="n">
        <v>25</v>
      </c>
    </row>
    <row r="7" customFormat="false" ht="15" hidden="false" customHeight="false" outlineLevel="0" collapsed="false">
      <c r="B7" s="25" t="s">
        <v>153</v>
      </c>
      <c r="C7" s="8"/>
      <c r="D7" s="8"/>
      <c r="E7" s="8"/>
      <c r="F7" s="8"/>
      <c r="G7" s="8"/>
      <c r="H7" s="8"/>
      <c r="I7" s="8"/>
      <c r="J7" s="8"/>
      <c r="K7" s="8"/>
      <c r="L7" s="8"/>
      <c r="M7" s="8"/>
      <c r="N7" s="8"/>
      <c r="O7" s="8"/>
      <c r="P7" s="8"/>
      <c r="Q7" s="8"/>
      <c r="R7" s="8"/>
      <c r="S7" s="8"/>
      <c r="T7" s="8"/>
      <c r="U7" s="8"/>
      <c r="V7" s="8"/>
      <c r="W7" s="8"/>
      <c r="X7" s="8"/>
      <c r="Y7" s="8"/>
      <c r="Z7" s="8"/>
      <c r="AA7" s="8"/>
      <c r="AB7" s="8"/>
    </row>
    <row r="8" customFormat="false" ht="15" hidden="false" customHeight="false" outlineLevel="0" collapsed="false">
      <c r="B8" s="26" t="s">
        <v>154</v>
      </c>
      <c r="C8" s="21" t="n">
        <f aca="false">Plantable_Area*MAI_Rate</f>
        <v>127500</v>
      </c>
      <c r="D8" s="21" t="n">
        <f aca="false">Plantable_Area*MAI_Rate</f>
        <v>127500</v>
      </c>
      <c r="E8" s="21" t="n">
        <f aca="false">Plantable_Area*MAI_Rate</f>
        <v>127500</v>
      </c>
      <c r="F8" s="21" t="n">
        <f aca="false">Plantable_Area*MAI_Rate</f>
        <v>127500</v>
      </c>
      <c r="G8" s="21" t="n">
        <f aca="false">Plantable_Area*MAI_Rate</f>
        <v>127500</v>
      </c>
      <c r="H8" s="21" t="n">
        <f aca="false">Plantable_Area*MAI_Rate</f>
        <v>127500</v>
      </c>
      <c r="I8" s="21" t="n">
        <f aca="false">Plantable_Area*MAI_Rate</f>
        <v>127500</v>
      </c>
      <c r="J8" s="21" t="n">
        <f aca="false">Plantable_Area*MAI_Rate</f>
        <v>127500</v>
      </c>
      <c r="K8" s="21" t="n">
        <f aca="false">Plantable_Area*MAI_Rate</f>
        <v>127500</v>
      </c>
      <c r="L8" s="21" t="n">
        <f aca="false">Plantable_Area*MAI_Rate</f>
        <v>127500</v>
      </c>
      <c r="M8" s="21" t="n">
        <f aca="false">Plantable_Area*MAI_Rate</f>
        <v>127500</v>
      </c>
      <c r="N8" s="21" t="n">
        <f aca="false">Plantable_Area*MAI_Rate</f>
        <v>127500</v>
      </c>
      <c r="O8" s="21" t="n">
        <f aca="false">Plantable_Area*MAI_Rate</f>
        <v>127500</v>
      </c>
      <c r="P8" s="21" t="n">
        <f aca="false">Plantable_Area*MAI_Rate</f>
        <v>127500</v>
      </c>
      <c r="Q8" s="21" t="n">
        <f aca="false">Plantable_Area*MAI_Rate</f>
        <v>127500</v>
      </c>
      <c r="R8" s="21" t="n">
        <f aca="false">Plantable_Area*MAI_Rate</f>
        <v>127500</v>
      </c>
      <c r="S8" s="21" t="n">
        <f aca="false">Plantable_Area*MAI_Rate</f>
        <v>127500</v>
      </c>
      <c r="T8" s="21" t="n">
        <f aca="false">Plantable_Area*MAI_Rate</f>
        <v>127500</v>
      </c>
      <c r="U8" s="21" t="n">
        <f aca="false">Plantable_Area*MAI_Rate</f>
        <v>127500</v>
      </c>
      <c r="V8" s="21" t="n">
        <f aca="false">Plantable_Area*MAI_Rate</f>
        <v>127500</v>
      </c>
      <c r="W8" s="21" t="n">
        <f aca="false">Plantable_Area*MAI_Rate</f>
        <v>127500</v>
      </c>
      <c r="X8" s="21" t="n">
        <f aca="false">Plantable_Area*MAI_Rate</f>
        <v>127500</v>
      </c>
      <c r="Y8" s="21" t="n">
        <f aca="false">Plantable_Area*MAI_Rate</f>
        <v>127500</v>
      </c>
      <c r="Z8" s="21" t="n">
        <f aca="false">Plantable_Area*MAI_Rate</f>
        <v>127500</v>
      </c>
      <c r="AA8" s="21" t="n">
        <f aca="false">Plantable_Area*MAI_Rate</f>
        <v>127500</v>
      </c>
      <c r="AB8" s="21" t="n">
        <f aca="false">Plantable_Area*MAI_Rate</f>
        <v>127500</v>
      </c>
    </row>
    <row r="9" customFormat="false" ht="15" hidden="false" customHeight="false" outlineLevel="0" collapsed="false">
      <c r="B9" s="26" t="s">
        <v>155</v>
      </c>
      <c r="C9" s="21" t="n">
        <f aca="false">IF(AND(C6&gt;=Thinning_Start_Year,C6&lt;Rotation_Length),Plantable_Area*MAI_Rate*Thinning_Pct,0)</f>
        <v>0</v>
      </c>
      <c r="D9" s="21" t="n">
        <f aca="false">IF(AND(D6&gt;=Thinning_Start_Year,D6&lt;Rotation_Length),Plantable_Area*MAI_Rate*Thinning_Pct,0)</f>
        <v>0</v>
      </c>
      <c r="E9" s="21" t="n">
        <f aca="false">IF(AND(E6&gt;=Thinning_Start_Year,E6&lt;Rotation_Length),Plantable_Area*MAI_Rate*Thinning_Pct,0)</f>
        <v>0</v>
      </c>
      <c r="F9" s="21" t="n">
        <f aca="false">IF(AND(F6&gt;=Thinning_Start_Year,F6&lt;Rotation_Length),Plantable_Area*MAI_Rate*Thinning_Pct,0)</f>
        <v>0</v>
      </c>
      <c r="G9" s="21" t="n">
        <f aca="false">IF(AND(G6&gt;=Thinning_Start_Year,G6&lt;Rotation_Length),Plantable_Area*MAI_Rate*Thinning_Pct,0)</f>
        <v>0</v>
      </c>
      <c r="H9" s="21" t="n">
        <f aca="false">IF(AND(H6&gt;=Thinning_Start_Year,H6&lt;Rotation_Length),Plantable_Area*MAI_Rate*Thinning_Pct,0)</f>
        <v>31875</v>
      </c>
      <c r="I9" s="21" t="n">
        <f aca="false">IF(AND(I6&gt;=Thinning_Start_Year,I6&lt;Rotation_Length),Plantable_Area*MAI_Rate*Thinning_Pct,0)</f>
        <v>31875</v>
      </c>
      <c r="J9" s="21" t="n">
        <f aca="false">IF(AND(J6&gt;=Thinning_Start_Year,J6&lt;Rotation_Length),Plantable_Area*MAI_Rate*Thinning_Pct,0)</f>
        <v>31875</v>
      </c>
      <c r="K9" s="21" t="n">
        <f aca="false">IF(AND(K6&gt;=Thinning_Start_Year,K6&lt;Rotation_Length),Plantable_Area*MAI_Rate*Thinning_Pct,0)</f>
        <v>31875</v>
      </c>
      <c r="L9" s="21" t="n">
        <f aca="false">IF(AND(L6&gt;=Thinning_Start_Year,L6&lt;Rotation_Length),Plantable_Area*MAI_Rate*Thinning_Pct,0)</f>
        <v>31875</v>
      </c>
      <c r="M9" s="21" t="n">
        <f aca="false">IF(AND(M6&gt;=Thinning_Start_Year,M6&lt;Rotation_Length),Plantable_Area*MAI_Rate*Thinning_Pct,0)</f>
        <v>31875</v>
      </c>
      <c r="N9" s="21" t="n">
        <f aca="false">IF(AND(N6&gt;=Thinning_Start_Year,N6&lt;Rotation_Length),Plantable_Area*MAI_Rate*Thinning_Pct,0)</f>
        <v>31875</v>
      </c>
      <c r="O9" s="21" t="n">
        <f aca="false">IF(AND(O6&gt;=Thinning_Start_Year,O6&lt;Rotation_Length),Plantable_Area*MAI_Rate*Thinning_Pct,0)</f>
        <v>31875</v>
      </c>
      <c r="P9" s="21" t="n">
        <f aca="false">IF(AND(P6&gt;=Thinning_Start_Year,P6&lt;Rotation_Length),Plantable_Area*MAI_Rate*Thinning_Pct,0)</f>
        <v>31875</v>
      </c>
      <c r="Q9" s="21" t="n">
        <f aca="false">IF(AND(Q6&gt;=Thinning_Start_Year,Q6&lt;Rotation_Length),Plantable_Area*MAI_Rate*Thinning_Pct,0)</f>
        <v>31875</v>
      </c>
      <c r="R9" s="21" t="n">
        <f aca="false">IF(AND(R6&gt;=Thinning_Start_Year,R6&lt;Rotation_Length),Plantable_Area*MAI_Rate*Thinning_Pct,0)</f>
        <v>31875</v>
      </c>
      <c r="S9" s="21" t="n">
        <f aca="false">IF(AND(S6&gt;=Thinning_Start_Year,S6&lt;Rotation_Length),Plantable_Area*MAI_Rate*Thinning_Pct,0)</f>
        <v>31875</v>
      </c>
      <c r="T9" s="21" t="n">
        <f aca="false">IF(AND(T6&gt;=Thinning_Start_Year,T6&lt;Rotation_Length),Plantable_Area*MAI_Rate*Thinning_Pct,0)</f>
        <v>31875</v>
      </c>
      <c r="U9" s="21" t="n">
        <f aca="false">IF(AND(U6&gt;=Thinning_Start_Year,U6&lt;Rotation_Length),Plantable_Area*MAI_Rate*Thinning_Pct,0)</f>
        <v>31875</v>
      </c>
      <c r="V9" s="21" t="n">
        <f aca="false">IF(AND(V6&gt;=Thinning_Start_Year,V6&lt;Rotation_Length),Plantable_Area*MAI_Rate*Thinning_Pct,0)</f>
        <v>31875</v>
      </c>
      <c r="W9" s="21" t="n">
        <f aca="false">IF(AND(W6&gt;=Thinning_Start_Year,W6&lt;Rotation_Length),Plantable_Area*MAI_Rate*Thinning_Pct,0)</f>
        <v>31875</v>
      </c>
      <c r="X9" s="21" t="n">
        <f aca="false">IF(AND(X6&gt;=Thinning_Start_Year,X6&lt;Rotation_Length),Plantable_Area*MAI_Rate*Thinning_Pct,0)</f>
        <v>31875</v>
      </c>
      <c r="Y9" s="21" t="n">
        <f aca="false">IF(AND(Y6&gt;=Thinning_Start_Year,Y6&lt;Rotation_Length),Plantable_Area*MAI_Rate*Thinning_Pct,0)</f>
        <v>31875</v>
      </c>
      <c r="Z9" s="21" t="n">
        <f aca="false">IF(AND(Z6&gt;=Thinning_Start_Year,Z6&lt;Rotation_Length),Plantable_Area*MAI_Rate*Thinning_Pct,0)</f>
        <v>31875</v>
      </c>
      <c r="AA9" s="21" t="n">
        <f aca="false">IF(AND(AA6&gt;=Thinning_Start_Year,AA6&lt;Rotation_Length),Plantable_Area*MAI_Rate*Thinning_Pct,0)</f>
        <v>31875</v>
      </c>
      <c r="AB9" s="21" t="n">
        <f aca="false">IF(AND(AB6&gt;=Thinning_Start_Year,AB6&lt;Rotation_Length),Plantable_Area*MAI_Rate*Thinning_Pct,0)</f>
        <v>0</v>
      </c>
    </row>
    <row r="10" customFormat="false" ht="15" hidden="false" customHeight="false" outlineLevel="0" collapsed="false">
      <c r="B10" s="26" t="s">
        <v>156</v>
      </c>
      <c r="C10" s="21" t="n">
        <f aca="false">IF(C6=Rotation_Length,C13+C8,0)</f>
        <v>0</v>
      </c>
      <c r="D10" s="21" t="n">
        <f aca="false">IF(D6=Rotation_Length,D13+D8,0)</f>
        <v>0</v>
      </c>
      <c r="E10" s="21" t="n">
        <f aca="false">IF(E6=Rotation_Length,E13+E8,0)</f>
        <v>0</v>
      </c>
      <c r="F10" s="21" t="n">
        <f aca="false">IF(F6=Rotation_Length,F13+F8,0)</f>
        <v>0</v>
      </c>
      <c r="G10" s="21" t="n">
        <f aca="false">IF(G6=Rotation_Length,G13+G8,0)</f>
        <v>0</v>
      </c>
      <c r="H10" s="21" t="n">
        <f aca="false">IF(H6=Rotation_Length,H13+H8,0)</f>
        <v>0</v>
      </c>
      <c r="I10" s="21" t="n">
        <f aca="false">IF(I6=Rotation_Length,I13+I8,0)</f>
        <v>0</v>
      </c>
      <c r="J10" s="21" t="n">
        <f aca="false">IF(J6=Rotation_Length,J13+J8,0)</f>
        <v>0</v>
      </c>
      <c r="K10" s="21" t="n">
        <f aca="false">IF(K6=Rotation_Length,K13+K8,0)</f>
        <v>0</v>
      </c>
      <c r="L10" s="21" t="n">
        <f aca="false">IF(L6=Rotation_Length,L13+L8,0)</f>
        <v>0</v>
      </c>
      <c r="M10" s="21" t="n">
        <f aca="false">IF(M6=Rotation_Length,M13+M8,0)</f>
        <v>0</v>
      </c>
      <c r="N10" s="21" t="n">
        <f aca="false">IF(N6=Rotation_Length,N13+N8,0)</f>
        <v>0</v>
      </c>
      <c r="O10" s="21" t="n">
        <f aca="false">IF(O6=Rotation_Length,O13+O8,0)</f>
        <v>0</v>
      </c>
      <c r="P10" s="21" t="n">
        <f aca="false">IF(P6=Rotation_Length,P13+P8,0)</f>
        <v>0</v>
      </c>
      <c r="Q10" s="21" t="n">
        <f aca="false">IF(Q6=Rotation_Length,Q13+Q8,0)</f>
        <v>0</v>
      </c>
      <c r="R10" s="21" t="n">
        <f aca="false">IF(R6=Rotation_Length,R13+R8,0)</f>
        <v>0</v>
      </c>
      <c r="S10" s="21" t="n">
        <f aca="false">IF(S6=Rotation_Length,S13+S8,0)</f>
        <v>0</v>
      </c>
      <c r="T10" s="21" t="n">
        <f aca="false">IF(T6=Rotation_Length,T13+T8,0)</f>
        <v>0</v>
      </c>
      <c r="U10" s="21" t="n">
        <f aca="false">IF(U6=Rotation_Length,U13+U8,0)</f>
        <v>0</v>
      </c>
      <c r="V10" s="21" t="n">
        <f aca="false">IF(V6=Rotation_Length,V13+V8,0)</f>
        <v>0</v>
      </c>
      <c r="W10" s="21" t="n">
        <f aca="false">IF(W6=Rotation_Length,W13+W8,0)</f>
        <v>0</v>
      </c>
      <c r="X10" s="21" t="n">
        <f aca="false">IF(X6=Rotation_Length,X13+X8,0)</f>
        <v>0</v>
      </c>
      <c r="Y10" s="21" t="n">
        <f aca="false">IF(Y6=Rotation_Length,Y13+Y8,0)</f>
        <v>0</v>
      </c>
      <c r="Z10" s="21" t="n">
        <f aca="false">IF(Z6=Rotation_Length,Z13+Z8,0)</f>
        <v>0</v>
      </c>
      <c r="AA10" s="21" t="n">
        <f aca="false">IF(AA6=Rotation_Length,AA13+AA8,0)</f>
        <v>0</v>
      </c>
      <c r="AB10" s="21" t="n">
        <f aca="false">IF(AB6=Rotation_Length,AB13+AB8,0)</f>
        <v>2677500</v>
      </c>
    </row>
    <row r="11" customFormat="false" ht="15" hidden="false" customHeight="false" outlineLevel="0" collapsed="false">
      <c r="B11" s="26" t="s">
        <v>157</v>
      </c>
      <c r="C11" s="27" t="n">
        <f aca="false">C9+C10</f>
        <v>0</v>
      </c>
      <c r="D11" s="27" t="n">
        <f aca="false">D9+D10</f>
        <v>0</v>
      </c>
      <c r="E11" s="27" t="n">
        <f aca="false">E9+E10</f>
        <v>0</v>
      </c>
      <c r="F11" s="27" t="n">
        <f aca="false">F9+F10</f>
        <v>0</v>
      </c>
      <c r="G11" s="27" t="n">
        <f aca="false">G9+G10</f>
        <v>0</v>
      </c>
      <c r="H11" s="27" t="n">
        <f aca="false">H9+H10</f>
        <v>31875</v>
      </c>
      <c r="I11" s="27" t="n">
        <f aca="false">I9+I10</f>
        <v>31875</v>
      </c>
      <c r="J11" s="27" t="n">
        <f aca="false">J9+J10</f>
        <v>31875</v>
      </c>
      <c r="K11" s="27" t="n">
        <f aca="false">K9+K10</f>
        <v>31875</v>
      </c>
      <c r="L11" s="27" t="n">
        <f aca="false">L9+L10</f>
        <v>31875</v>
      </c>
      <c r="M11" s="27" t="n">
        <f aca="false">M9+M10</f>
        <v>31875</v>
      </c>
      <c r="N11" s="27" t="n">
        <f aca="false">N9+N10</f>
        <v>31875</v>
      </c>
      <c r="O11" s="27" t="n">
        <f aca="false">O9+O10</f>
        <v>31875</v>
      </c>
      <c r="P11" s="27" t="n">
        <f aca="false">P9+P10</f>
        <v>31875</v>
      </c>
      <c r="Q11" s="27" t="n">
        <f aca="false">Q9+Q10</f>
        <v>31875</v>
      </c>
      <c r="R11" s="27" t="n">
        <f aca="false">R9+R10</f>
        <v>31875</v>
      </c>
      <c r="S11" s="27" t="n">
        <f aca="false">S9+S10</f>
        <v>31875</v>
      </c>
      <c r="T11" s="27" t="n">
        <f aca="false">T9+T10</f>
        <v>31875</v>
      </c>
      <c r="U11" s="27" t="n">
        <f aca="false">U9+U10</f>
        <v>31875</v>
      </c>
      <c r="V11" s="27" t="n">
        <f aca="false">V9+V10</f>
        <v>31875</v>
      </c>
      <c r="W11" s="27" t="n">
        <f aca="false">W9+W10</f>
        <v>31875</v>
      </c>
      <c r="X11" s="27" t="n">
        <f aca="false">X9+X10</f>
        <v>31875</v>
      </c>
      <c r="Y11" s="27" t="n">
        <f aca="false">Y9+Y10</f>
        <v>31875</v>
      </c>
      <c r="Z11" s="27" t="n">
        <f aca="false">Z9+Z10</f>
        <v>31875</v>
      </c>
      <c r="AA11" s="27" t="n">
        <f aca="false">AA9+AA10</f>
        <v>31875</v>
      </c>
      <c r="AB11" s="27" t="n">
        <f aca="false">AB9+AB10</f>
        <v>2677500</v>
      </c>
    </row>
    <row r="12" customFormat="false" ht="15" hidden="false" customHeight="false" outlineLevel="0" collapsed="false">
      <c r="B12" s="25" t="s">
        <v>158</v>
      </c>
      <c r="C12" s="8"/>
      <c r="D12" s="8"/>
      <c r="E12" s="8"/>
      <c r="F12" s="8"/>
      <c r="G12" s="8"/>
      <c r="H12" s="8"/>
      <c r="I12" s="8"/>
      <c r="J12" s="8"/>
      <c r="K12" s="8"/>
      <c r="L12" s="8"/>
      <c r="M12" s="8"/>
      <c r="N12" s="8"/>
      <c r="O12" s="8"/>
      <c r="P12" s="8"/>
      <c r="Q12" s="8"/>
      <c r="R12" s="8"/>
      <c r="S12" s="8"/>
      <c r="T12" s="8"/>
      <c r="U12" s="8"/>
      <c r="V12" s="8"/>
      <c r="W12" s="8"/>
      <c r="X12" s="8"/>
      <c r="Y12" s="8"/>
      <c r="Z12" s="8"/>
      <c r="AA12" s="8"/>
      <c r="AB12" s="8"/>
    </row>
    <row r="13" customFormat="false" ht="15" hidden="false" customHeight="false" outlineLevel="0" collapsed="false">
      <c r="B13" s="6" t="s">
        <v>159</v>
      </c>
      <c r="C13" s="21" t="n">
        <f aca="false">0</f>
        <v>0</v>
      </c>
      <c r="D13" s="21" t="n">
        <f aca="false">C17</f>
        <v>127500</v>
      </c>
      <c r="E13" s="21" t="n">
        <f aca="false">D17</f>
        <v>255000</v>
      </c>
      <c r="F13" s="21" t="n">
        <f aca="false">E17</f>
        <v>382500</v>
      </c>
      <c r="G13" s="21" t="n">
        <f aca="false">F17</f>
        <v>510000</v>
      </c>
      <c r="H13" s="21" t="n">
        <f aca="false">G17</f>
        <v>637500</v>
      </c>
      <c r="I13" s="21" t="n">
        <f aca="false">H17</f>
        <v>733125</v>
      </c>
      <c r="J13" s="21" t="n">
        <f aca="false">I17</f>
        <v>828750</v>
      </c>
      <c r="K13" s="21" t="n">
        <f aca="false">J17</f>
        <v>924375</v>
      </c>
      <c r="L13" s="21" t="n">
        <f aca="false">K17</f>
        <v>1020000</v>
      </c>
      <c r="M13" s="21" t="n">
        <f aca="false">L17</f>
        <v>1115625</v>
      </c>
      <c r="N13" s="21" t="n">
        <f aca="false">M17</f>
        <v>1211250</v>
      </c>
      <c r="O13" s="21" t="n">
        <f aca="false">N17</f>
        <v>1306875</v>
      </c>
      <c r="P13" s="21" t="n">
        <f aca="false">O17</f>
        <v>1402500</v>
      </c>
      <c r="Q13" s="21" t="n">
        <f aca="false">P17</f>
        <v>1498125</v>
      </c>
      <c r="R13" s="21" t="n">
        <f aca="false">Q17</f>
        <v>1593750</v>
      </c>
      <c r="S13" s="21" t="n">
        <f aca="false">R17</f>
        <v>1689375</v>
      </c>
      <c r="T13" s="21" t="n">
        <f aca="false">S17</f>
        <v>1785000</v>
      </c>
      <c r="U13" s="21" t="n">
        <f aca="false">T17</f>
        <v>1880625</v>
      </c>
      <c r="V13" s="21" t="n">
        <f aca="false">U17</f>
        <v>1976250</v>
      </c>
      <c r="W13" s="21" t="n">
        <f aca="false">V17</f>
        <v>2071875</v>
      </c>
      <c r="X13" s="21" t="n">
        <f aca="false">W17</f>
        <v>2167500</v>
      </c>
      <c r="Y13" s="21" t="n">
        <f aca="false">X17</f>
        <v>2263125</v>
      </c>
      <c r="Z13" s="21" t="n">
        <f aca="false">Y17</f>
        <v>2358750</v>
      </c>
      <c r="AA13" s="21" t="n">
        <f aca="false">Z17</f>
        <v>2454375</v>
      </c>
      <c r="AB13" s="21" t="n">
        <f aca="false">AA17</f>
        <v>2550000</v>
      </c>
    </row>
    <row r="14" customFormat="false" ht="15" hidden="false" customHeight="false" outlineLevel="0" collapsed="false">
      <c r="B14" s="26" t="s">
        <v>160</v>
      </c>
      <c r="C14" s="21" t="n">
        <f aca="false">C8</f>
        <v>127500</v>
      </c>
      <c r="D14" s="21" t="n">
        <f aca="false">D8</f>
        <v>127500</v>
      </c>
      <c r="E14" s="21" t="n">
        <f aca="false">E8</f>
        <v>127500</v>
      </c>
      <c r="F14" s="21" t="n">
        <f aca="false">F8</f>
        <v>127500</v>
      </c>
      <c r="G14" s="21" t="n">
        <f aca="false">G8</f>
        <v>127500</v>
      </c>
      <c r="H14" s="21" t="n">
        <f aca="false">H8</f>
        <v>127500</v>
      </c>
      <c r="I14" s="21" t="n">
        <f aca="false">I8</f>
        <v>127500</v>
      </c>
      <c r="J14" s="21" t="n">
        <f aca="false">J8</f>
        <v>127500</v>
      </c>
      <c r="K14" s="21" t="n">
        <f aca="false">K8</f>
        <v>127500</v>
      </c>
      <c r="L14" s="21" t="n">
        <f aca="false">L8</f>
        <v>127500</v>
      </c>
      <c r="M14" s="21" t="n">
        <f aca="false">M8</f>
        <v>127500</v>
      </c>
      <c r="N14" s="21" t="n">
        <f aca="false">N8</f>
        <v>127500</v>
      </c>
      <c r="O14" s="21" t="n">
        <f aca="false">O8</f>
        <v>127500</v>
      </c>
      <c r="P14" s="21" t="n">
        <f aca="false">P8</f>
        <v>127500</v>
      </c>
      <c r="Q14" s="21" t="n">
        <f aca="false">Q8</f>
        <v>127500</v>
      </c>
      <c r="R14" s="21" t="n">
        <f aca="false">R8</f>
        <v>127500</v>
      </c>
      <c r="S14" s="21" t="n">
        <f aca="false">S8</f>
        <v>127500</v>
      </c>
      <c r="T14" s="21" t="n">
        <f aca="false">T8</f>
        <v>127500</v>
      </c>
      <c r="U14" s="21" t="n">
        <f aca="false">U8</f>
        <v>127500</v>
      </c>
      <c r="V14" s="21" t="n">
        <f aca="false">V8</f>
        <v>127500</v>
      </c>
      <c r="W14" s="21" t="n">
        <f aca="false">W8</f>
        <v>127500</v>
      </c>
      <c r="X14" s="21" t="n">
        <f aca="false">X8</f>
        <v>127500</v>
      </c>
      <c r="Y14" s="21" t="n">
        <f aca="false">Y8</f>
        <v>127500</v>
      </c>
      <c r="Z14" s="21" t="n">
        <f aca="false">Z8</f>
        <v>127500</v>
      </c>
      <c r="AA14" s="21" t="n">
        <f aca="false">AA8</f>
        <v>127500</v>
      </c>
      <c r="AB14" s="21" t="n">
        <f aca="false">AB8</f>
        <v>127500</v>
      </c>
    </row>
    <row r="15" customFormat="false" ht="15" hidden="false" customHeight="false" outlineLevel="0" collapsed="false">
      <c r="B15" s="26" t="s">
        <v>161</v>
      </c>
      <c r="C15" s="21" t="n">
        <f aca="false">C9</f>
        <v>0</v>
      </c>
      <c r="D15" s="21" t="n">
        <f aca="false">D9</f>
        <v>0</v>
      </c>
      <c r="E15" s="21" t="n">
        <f aca="false">E9</f>
        <v>0</v>
      </c>
      <c r="F15" s="21" t="n">
        <f aca="false">F9</f>
        <v>0</v>
      </c>
      <c r="G15" s="21" t="n">
        <f aca="false">G9</f>
        <v>0</v>
      </c>
      <c r="H15" s="21" t="n">
        <f aca="false">H9</f>
        <v>31875</v>
      </c>
      <c r="I15" s="21" t="n">
        <f aca="false">I9</f>
        <v>31875</v>
      </c>
      <c r="J15" s="21" t="n">
        <f aca="false">J9</f>
        <v>31875</v>
      </c>
      <c r="K15" s="21" t="n">
        <f aca="false">K9</f>
        <v>31875</v>
      </c>
      <c r="L15" s="21" t="n">
        <f aca="false">L9</f>
        <v>31875</v>
      </c>
      <c r="M15" s="21" t="n">
        <f aca="false">M9</f>
        <v>31875</v>
      </c>
      <c r="N15" s="21" t="n">
        <f aca="false">N9</f>
        <v>31875</v>
      </c>
      <c r="O15" s="21" t="n">
        <f aca="false">O9</f>
        <v>31875</v>
      </c>
      <c r="P15" s="21" t="n">
        <f aca="false">P9</f>
        <v>31875</v>
      </c>
      <c r="Q15" s="21" t="n">
        <f aca="false">Q9</f>
        <v>31875</v>
      </c>
      <c r="R15" s="21" t="n">
        <f aca="false">R9</f>
        <v>31875</v>
      </c>
      <c r="S15" s="21" t="n">
        <f aca="false">S9</f>
        <v>31875</v>
      </c>
      <c r="T15" s="21" t="n">
        <f aca="false">T9</f>
        <v>31875</v>
      </c>
      <c r="U15" s="21" t="n">
        <f aca="false">U9</f>
        <v>31875</v>
      </c>
      <c r="V15" s="21" t="n">
        <f aca="false">V9</f>
        <v>31875</v>
      </c>
      <c r="W15" s="21" t="n">
        <f aca="false">W9</f>
        <v>31875</v>
      </c>
      <c r="X15" s="21" t="n">
        <f aca="false">X9</f>
        <v>31875</v>
      </c>
      <c r="Y15" s="21" t="n">
        <f aca="false">Y9</f>
        <v>31875</v>
      </c>
      <c r="Z15" s="21" t="n">
        <f aca="false">Z9</f>
        <v>31875</v>
      </c>
      <c r="AA15" s="21" t="n">
        <f aca="false">AA9</f>
        <v>31875</v>
      </c>
      <c r="AB15" s="21" t="n">
        <f aca="false">AB9</f>
        <v>0</v>
      </c>
    </row>
    <row r="16" customFormat="false" ht="15" hidden="false" customHeight="false" outlineLevel="0" collapsed="false">
      <c r="B16" s="26" t="s">
        <v>162</v>
      </c>
      <c r="C16" s="21" t="n">
        <f aca="false">C10</f>
        <v>0</v>
      </c>
      <c r="D16" s="21" t="n">
        <f aca="false">D10</f>
        <v>0</v>
      </c>
      <c r="E16" s="21" t="n">
        <f aca="false">E10</f>
        <v>0</v>
      </c>
      <c r="F16" s="21" t="n">
        <f aca="false">F10</f>
        <v>0</v>
      </c>
      <c r="G16" s="21" t="n">
        <f aca="false">G10</f>
        <v>0</v>
      </c>
      <c r="H16" s="21" t="n">
        <f aca="false">H10</f>
        <v>0</v>
      </c>
      <c r="I16" s="21" t="n">
        <f aca="false">I10</f>
        <v>0</v>
      </c>
      <c r="J16" s="21" t="n">
        <f aca="false">J10</f>
        <v>0</v>
      </c>
      <c r="K16" s="21" t="n">
        <f aca="false">K10</f>
        <v>0</v>
      </c>
      <c r="L16" s="21" t="n">
        <f aca="false">L10</f>
        <v>0</v>
      </c>
      <c r="M16" s="21" t="n">
        <f aca="false">M10</f>
        <v>0</v>
      </c>
      <c r="N16" s="21" t="n">
        <f aca="false">N10</f>
        <v>0</v>
      </c>
      <c r="O16" s="21" t="n">
        <f aca="false">O10</f>
        <v>0</v>
      </c>
      <c r="P16" s="21" t="n">
        <f aca="false">P10</f>
        <v>0</v>
      </c>
      <c r="Q16" s="21" t="n">
        <f aca="false">Q10</f>
        <v>0</v>
      </c>
      <c r="R16" s="21" t="n">
        <f aca="false">R10</f>
        <v>0</v>
      </c>
      <c r="S16" s="21" t="n">
        <f aca="false">S10</f>
        <v>0</v>
      </c>
      <c r="T16" s="21" t="n">
        <f aca="false">T10</f>
        <v>0</v>
      </c>
      <c r="U16" s="21" t="n">
        <f aca="false">U10</f>
        <v>0</v>
      </c>
      <c r="V16" s="21" t="n">
        <f aca="false">V10</f>
        <v>0</v>
      </c>
      <c r="W16" s="21" t="n">
        <f aca="false">W10</f>
        <v>0</v>
      </c>
      <c r="X16" s="21" t="n">
        <f aca="false">X10</f>
        <v>0</v>
      </c>
      <c r="Y16" s="21" t="n">
        <f aca="false">Y10</f>
        <v>0</v>
      </c>
      <c r="Z16" s="21" t="n">
        <f aca="false">Z10</f>
        <v>0</v>
      </c>
      <c r="AA16" s="21" t="n">
        <f aca="false">AA10</f>
        <v>0</v>
      </c>
      <c r="AB16" s="21" t="n">
        <f aca="false">AB10</f>
        <v>2677500</v>
      </c>
    </row>
    <row r="17" customFormat="false" ht="15" hidden="false" customHeight="false" outlineLevel="0" collapsed="false">
      <c r="B17" s="26" t="s">
        <v>163</v>
      </c>
      <c r="C17" s="27" t="n">
        <f aca="false">C13+C14-C15-C16</f>
        <v>127500</v>
      </c>
      <c r="D17" s="27" t="n">
        <f aca="false">D13+D14-D15-D16</f>
        <v>255000</v>
      </c>
      <c r="E17" s="27" t="n">
        <f aca="false">E13+E14-E15-E16</f>
        <v>382500</v>
      </c>
      <c r="F17" s="27" t="n">
        <f aca="false">F13+F14-F15-F16</f>
        <v>510000</v>
      </c>
      <c r="G17" s="27" t="n">
        <f aca="false">G13+G14-G15-G16</f>
        <v>637500</v>
      </c>
      <c r="H17" s="27" t="n">
        <f aca="false">H13+H14-H15-H16</f>
        <v>733125</v>
      </c>
      <c r="I17" s="27" t="n">
        <f aca="false">I13+I14-I15-I16</f>
        <v>828750</v>
      </c>
      <c r="J17" s="27" t="n">
        <f aca="false">J13+J14-J15-J16</f>
        <v>924375</v>
      </c>
      <c r="K17" s="27" t="n">
        <f aca="false">K13+K14-K15-K16</f>
        <v>1020000</v>
      </c>
      <c r="L17" s="27" t="n">
        <f aca="false">L13+L14-L15-L16</f>
        <v>1115625</v>
      </c>
      <c r="M17" s="27" t="n">
        <f aca="false">M13+M14-M15-M16</f>
        <v>1211250</v>
      </c>
      <c r="N17" s="27" t="n">
        <f aca="false">N13+N14-N15-N16</f>
        <v>1306875</v>
      </c>
      <c r="O17" s="27" t="n">
        <f aca="false">O13+O14-O15-O16</f>
        <v>1402500</v>
      </c>
      <c r="P17" s="27" t="n">
        <f aca="false">P13+P14-P15-P16</f>
        <v>1498125</v>
      </c>
      <c r="Q17" s="27" t="n">
        <f aca="false">Q13+Q14-Q15-Q16</f>
        <v>1593750</v>
      </c>
      <c r="R17" s="27" t="n">
        <f aca="false">R13+R14-R15-R16</f>
        <v>1689375</v>
      </c>
      <c r="S17" s="27" t="n">
        <f aca="false">S13+S14-S15-S16</f>
        <v>1785000</v>
      </c>
      <c r="T17" s="27" t="n">
        <f aca="false">T13+T14-T15-T16</f>
        <v>1880625</v>
      </c>
      <c r="U17" s="27" t="n">
        <f aca="false">U13+U14-U15-U16</f>
        <v>1976250</v>
      </c>
      <c r="V17" s="27" t="n">
        <f aca="false">V13+V14-V15-V16</f>
        <v>2071875</v>
      </c>
      <c r="W17" s="27" t="n">
        <f aca="false">W13+W14-W15-W16</f>
        <v>2167500</v>
      </c>
      <c r="X17" s="27" t="n">
        <f aca="false">X13+X14-X15-X16</f>
        <v>2263125</v>
      </c>
      <c r="Y17" s="27" t="n">
        <f aca="false">Y13+Y14-Y15-Y16</f>
        <v>2358750</v>
      </c>
      <c r="Z17" s="27" t="n">
        <f aca="false">Z13+Z14-Z15-Z16</f>
        <v>2454375</v>
      </c>
      <c r="AA17" s="27" t="n">
        <f aca="false">AA13+AA14-AA15-AA16</f>
        <v>2550000</v>
      </c>
      <c r="AB17" s="27" t="n">
        <f aca="false">AB13+AB14-AB15-AB16</f>
        <v>0</v>
      </c>
    </row>
    <row r="19" customFormat="false" ht="15" hidden="false" customHeight="false" outlineLevel="0" collapsed="false">
      <c r="B19" s="6" t="s">
        <v>164</v>
      </c>
      <c r="C19" s="28" t="str">
        <f aca="false">IF(C17&gt;=0,"OK","ERROR: DEFICIT")</f>
        <v>OK</v>
      </c>
      <c r="D19" s="28" t="str">
        <f aca="false">IF(D17&gt;=0,"OK","ERROR: DEFICIT")</f>
        <v>OK</v>
      </c>
      <c r="E19" s="28" t="str">
        <f aca="false">IF(E17&gt;=0,"OK","ERROR: DEFICIT")</f>
        <v>OK</v>
      </c>
      <c r="F19" s="28" t="str">
        <f aca="false">IF(F17&gt;=0,"OK","ERROR: DEFICIT")</f>
        <v>OK</v>
      </c>
      <c r="G19" s="28" t="str">
        <f aca="false">IF(G17&gt;=0,"OK","ERROR: DEFICIT")</f>
        <v>OK</v>
      </c>
      <c r="H19" s="28" t="str">
        <f aca="false">IF(H17&gt;=0,"OK","ERROR: DEFICIT")</f>
        <v>OK</v>
      </c>
      <c r="I19" s="28" t="str">
        <f aca="false">IF(I17&gt;=0,"OK","ERROR: DEFICIT")</f>
        <v>OK</v>
      </c>
      <c r="J19" s="28" t="str">
        <f aca="false">IF(J17&gt;=0,"OK","ERROR: DEFICIT")</f>
        <v>OK</v>
      </c>
      <c r="K19" s="28" t="str">
        <f aca="false">IF(K17&gt;=0,"OK","ERROR: DEFICIT")</f>
        <v>OK</v>
      </c>
      <c r="L19" s="28" t="str">
        <f aca="false">IF(L17&gt;=0,"OK","ERROR: DEFICIT")</f>
        <v>OK</v>
      </c>
      <c r="M19" s="28" t="str">
        <f aca="false">IF(M17&gt;=0,"OK","ERROR: DEFICIT")</f>
        <v>OK</v>
      </c>
      <c r="N19" s="28" t="str">
        <f aca="false">IF(N17&gt;=0,"OK","ERROR: DEFICIT")</f>
        <v>OK</v>
      </c>
      <c r="O19" s="28" t="str">
        <f aca="false">IF(O17&gt;=0,"OK","ERROR: DEFICIT")</f>
        <v>OK</v>
      </c>
      <c r="P19" s="28" t="str">
        <f aca="false">IF(P17&gt;=0,"OK","ERROR: DEFICIT")</f>
        <v>OK</v>
      </c>
      <c r="Q19" s="28" t="str">
        <f aca="false">IF(Q17&gt;=0,"OK","ERROR: DEFICIT")</f>
        <v>OK</v>
      </c>
      <c r="R19" s="28" t="str">
        <f aca="false">IF(R17&gt;=0,"OK","ERROR: DEFICIT")</f>
        <v>OK</v>
      </c>
      <c r="S19" s="28" t="str">
        <f aca="false">IF(S17&gt;=0,"OK","ERROR: DEFICIT")</f>
        <v>OK</v>
      </c>
      <c r="T19" s="28" t="str">
        <f aca="false">IF(T17&gt;=0,"OK","ERROR: DEFICIT")</f>
        <v>OK</v>
      </c>
      <c r="U19" s="28" t="str">
        <f aca="false">IF(U17&gt;=0,"OK","ERROR: DEFICIT")</f>
        <v>OK</v>
      </c>
      <c r="V19" s="28" t="str">
        <f aca="false">IF(V17&gt;=0,"OK","ERROR: DEFICIT")</f>
        <v>OK</v>
      </c>
      <c r="W19" s="28" t="str">
        <f aca="false">IF(W17&gt;=0,"OK","ERROR: DEFICIT")</f>
        <v>OK</v>
      </c>
      <c r="X19" s="28" t="str">
        <f aca="false">IF(X17&gt;=0,"OK","ERROR: DEFICIT")</f>
        <v>OK</v>
      </c>
      <c r="Y19" s="28" t="str">
        <f aca="false">IF(Y17&gt;=0,"OK","ERROR: DEFICIT")</f>
        <v>OK</v>
      </c>
      <c r="Z19" s="28" t="str">
        <f aca="false">IF(Z17&gt;=0,"OK","ERROR: DEFICIT")</f>
        <v>OK</v>
      </c>
      <c r="AA19" s="28" t="str">
        <f aca="false">IF(AA17&gt;=0,"OK","ERROR: DEFICIT")</f>
        <v>OK</v>
      </c>
      <c r="AB19" s="28" t="str">
        <f aca="false">IF(AB17&gt;=0,"OK","ERROR: DEFICIT")</f>
        <v>OK</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28"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10</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165</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C5" s="23" t="n">
        <f aca="false">Model_Start_Year+0</f>
        <v>2025</v>
      </c>
      <c r="D5" s="23" t="n">
        <f aca="false">Model_Start_Year+1</f>
        <v>2026</v>
      </c>
      <c r="E5" s="23" t="n">
        <f aca="false">Model_Start_Year+2</f>
        <v>2027</v>
      </c>
      <c r="F5" s="23" t="n">
        <f aca="false">Model_Start_Year+3</f>
        <v>2028</v>
      </c>
      <c r="G5" s="23" t="n">
        <f aca="false">Model_Start_Year+4</f>
        <v>2029</v>
      </c>
      <c r="H5" s="23" t="n">
        <f aca="false">Model_Start_Year+5</f>
        <v>2030</v>
      </c>
      <c r="I5" s="23" t="n">
        <f aca="false">Model_Start_Year+6</f>
        <v>2031</v>
      </c>
      <c r="J5" s="23" t="n">
        <f aca="false">Model_Start_Year+7</f>
        <v>2032</v>
      </c>
      <c r="K5" s="23" t="n">
        <f aca="false">Model_Start_Year+8</f>
        <v>2033</v>
      </c>
      <c r="L5" s="23" t="n">
        <f aca="false">Model_Start_Year+9</f>
        <v>2034</v>
      </c>
      <c r="M5" s="23" t="n">
        <f aca="false">Model_Start_Year+10</f>
        <v>2035</v>
      </c>
      <c r="N5" s="23" t="n">
        <f aca="false">Model_Start_Year+11</f>
        <v>2036</v>
      </c>
      <c r="O5" s="23" t="n">
        <f aca="false">Model_Start_Year+12</f>
        <v>2037</v>
      </c>
      <c r="P5" s="23" t="n">
        <f aca="false">Model_Start_Year+13</f>
        <v>2038</v>
      </c>
      <c r="Q5" s="23" t="n">
        <f aca="false">Model_Start_Year+14</f>
        <v>2039</v>
      </c>
      <c r="R5" s="23" t="n">
        <f aca="false">Model_Start_Year+15</f>
        <v>2040</v>
      </c>
      <c r="S5" s="23" t="n">
        <f aca="false">Model_Start_Year+16</f>
        <v>2041</v>
      </c>
      <c r="T5" s="23" t="n">
        <f aca="false">Model_Start_Year+17</f>
        <v>2042</v>
      </c>
      <c r="U5" s="23" t="n">
        <f aca="false">Model_Start_Year+18</f>
        <v>2043</v>
      </c>
      <c r="V5" s="23" t="n">
        <f aca="false">Model_Start_Year+19</f>
        <v>2044</v>
      </c>
      <c r="W5" s="23" t="n">
        <f aca="false">Model_Start_Year+20</f>
        <v>2045</v>
      </c>
      <c r="X5" s="23" t="n">
        <f aca="false">Model_Start_Year+21</f>
        <v>2046</v>
      </c>
      <c r="Y5" s="23" t="n">
        <f aca="false">Model_Start_Year+22</f>
        <v>2047</v>
      </c>
      <c r="Z5" s="23" t="n">
        <f aca="false">Model_Start_Year+23</f>
        <v>2048</v>
      </c>
      <c r="AA5" s="23" t="n">
        <f aca="false">Model_Start_Year+24</f>
        <v>2049</v>
      </c>
      <c r="AB5" s="23" t="n">
        <f aca="false">Model_Start_Year+25</f>
        <v>2050</v>
      </c>
    </row>
    <row r="6" customFormat="false" ht="15" hidden="false" customHeight="false" outlineLevel="0" collapsed="false">
      <c r="C6" s="24" t="n">
        <v>0</v>
      </c>
      <c r="D6" s="24" t="n">
        <v>1</v>
      </c>
      <c r="E6" s="24" t="n">
        <v>2</v>
      </c>
      <c r="F6" s="24" t="n">
        <v>3</v>
      </c>
      <c r="G6" s="24" t="n">
        <v>4</v>
      </c>
      <c r="H6" s="24" t="n">
        <v>5</v>
      </c>
      <c r="I6" s="24" t="n">
        <v>6</v>
      </c>
      <c r="J6" s="24" t="n">
        <v>7</v>
      </c>
      <c r="K6" s="24" t="n">
        <v>8</v>
      </c>
      <c r="L6" s="24" t="n">
        <v>9</v>
      </c>
      <c r="M6" s="24" t="n">
        <v>10</v>
      </c>
      <c r="N6" s="24" t="n">
        <v>11</v>
      </c>
      <c r="O6" s="24" t="n">
        <v>12</v>
      </c>
      <c r="P6" s="24" t="n">
        <v>13</v>
      </c>
      <c r="Q6" s="24" t="n">
        <v>14</v>
      </c>
      <c r="R6" s="24" t="n">
        <v>15</v>
      </c>
      <c r="S6" s="24" t="n">
        <v>16</v>
      </c>
      <c r="T6" s="24" t="n">
        <v>17</v>
      </c>
      <c r="U6" s="24" t="n">
        <v>18</v>
      </c>
      <c r="V6" s="24" t="n">
        <v>19</v>
      </c>
      <c r="W6" s="24" t="n">
        <v>20</v>
      </c>
      <c r="X6" s="24" t="n">
        <v>21</v>
      </c>
      <c r="Y6" s="24" t="n">
        <v>22</v>
      </c>
      <c r="Z6" s="24" t="n">
        <v>23</v>
      </c>
      <c r="AA6" s="24" t="n">
        <v>24</v>
      </c>
      <c r="AB6" s="24" t="n">
        <v>25</v>
      </c>
    </row>
    <row r="7" customFormat="false" ht="15" hidden="false" customHeight="false" outlineLevel="0" collapsed="false">
      <c r="B7" s="25" t="s">
        <v>166</v>
      </c>
      <c r="C7" s="8"/>
      <c r="D7" s="8"/>
      <c r="E7" s="8"/>
      <c r="F7" s="8"/>
      <c r="G7" s="8"/>
      <c r="H7" s="8"/>
      <c r="I7" s="8"/>
      <c r="J7" s="8"/>
      <c r="K7" s="8"/>
      <c r="L7" s="8"/>
      <c r="M7" s="8"/>
      <c r="N7" s="8"/>
      <c r="O7" s="8"/>
      <c r="P7" s="8"/>
      <c r="Q7" s="8"/>
      <c r="R7" s="8"/>
      <c r="S7" s="8"/>
      <c r="T7" s="8"/>
      <c r="U7" s="8"/>
      <c r="V7" s="8"/>
      <c r="W7" s="8"/>
      <c r="X7" s="8"/>
      <c r="Y7" s="8"/>
      <c r="Z7" s="8"/>
      <c r="AA7" s="8"/>
      <c r="AB7" s="8"/>
    </row>
    <row r="8" customFormat="false" ht="15" hidden="false" customHeight="false" outlineLevel="0" collapsed="false">
      <c r="B8" s="26" t="s">
        <v>167</v>
      </c>
      <c r="C8" s="21" t="n">
        <f aca="false">Sawlog_Price*(1+Timber_Price_Esc)^C6</f>
        <v>47</v>
      </c>
      <c r="D8" s="21" t="n">
        <f aca="false">Sawlog_Price*(1+Timber_Price_Esc)^D6</f>
        <v>47.94</v>
      </c>
      <c r="E8" s="21" t="n">
        <f aca="false">Sawlog_Price*(1+Timber_Price_Esc)^E6</f>
        <v>48.8988</v>
      </c>
      <c r="F8" s="21" t="n">
        <f aca="false">Sawlog_Price*(1+Timber_Price_Esc)^F6</f>
        <v>49.876776</v>
      </c>
      <c r="G8" s="21" t="n">
        <f aca="false">Sawlog_Price*(1+Timber_Price_Esc)^G6</f>
        <v>50.87431152</v>
      </c>
      <c r="H8" s="21" t="n">
        <f aca="false">Sawlog_Price*(1+Timber_Price_Esc)^H6</f>
        <v>51.8917977504</v>
      </c>
      <c r="I8" s="21" t="n">
        <f aca="false">Sawlog_Price*(1+Timber_Price_Esc)^I6</f>
        <v>52.929633705408</v>
      </c>
      <c r="J8" s="21" t="n">
        <f aca="false">Sawlog_Price*(1+Timber_Price_Esc)^J6</f>
        <v>53.9882263795162</v>
      </c>
      <c r="K8" s="21" t="n">
        <f aca="false">Sawlog_Price*(1+Timber_Price_Esc)^K6</f>
        <v>55.0679909071065</v>
      </c>
      <c r="L8" s="21" t="n">
        <f aca="false">Sawlog_Price*(1+Timber_Price_Esc)^L6</f>
        <v>56.1693507252486</v>
      </c>
      <c r="M8" s="21" t="n">
        <f aca="false">Sawlog_Price*(1+Timber_Price_Esc)^M6</f>
        <v>57.2927377397536</v>
      </c>
      <c r="N8" s="21" t="n">
        <f aca="false">Sawlog_Price*(1+Timber_Price_Esc)^N6</f>
        <v>58.4385924945487</v>
      </c>
      <c r="O8" s="21" t="n">
        <f aca="false">Sawlog_Price*(1+Timber_Price_Esc)^O6</f>
        <v>59.6073643444396</v>
      </c>
      <c r="P8" s="21" t="n">
        <f aca="false">Sawlog_Price*(1+Timber_Price_Esc)^P6</f>
        <v>60.7995116313284</v>
      </c>
      <c r="Q8" s="21" t="n">
        <f aca="false">Sawlog_Price*(1+Timber_Price_Esc)^Q6</f>
        <v>62.015501863955</v>
      </c>
      <c r="R8" s="21" t="n">
        <f aca="false">Sawlog_Price*(1+Timber_Price_Esc)^R6</f>
        <v>63.2558119012341</v>
      </c>
      <c r="S8" s="21" t="n">
        <f aca="false">Sawlog_Price*(1+Timber_Price_Esc)^S6</f>
        <v>64.5209281392588</v>
      </c>
      <c r="T8" s="21" t="n">
        <f aca="false">Sawlog_Price*(1+Timber_Price_Esc)^T6</f>
        <v>65.811346702044</v>
      </c>
      <c r="U8" s="21" t="n">
        <f aca="false">Sawlog_Price*(1+Timber_Price_Esc)^U6</f>
        <v>67.1275736360849</v>
      </c>
      <c r="V8" s="21" t="n">
        <f aca="false">Sawlog_Price*(1+Timber_Price_Esc)^V6</f>
        <v>68.4701251088065</v>
      </c>
      <c r="W8" s="21" t="n">
        <f aca="false">Sawlog_Price*(1+Timber_Price_Esc)^W6</f>
        <v>69.8395276109827</v>
      </c>
      <c r="X8" s="21" t="n">
        <f aca="false">Sawlog_Price*(1+Timber_Price_Esc)^X6</f>
        <v>71.2363181632023</v>
      </c>
      <c r="Y8" s="21" t="n">
        <f aca="false">Sawlog_Price*(1+Timber_Price_Esc)^Y6</f>
        <v>72.6610445264664</v>
      </c>
      <c r="Z8" s="21" t="n">
        <f aca="false">Sawlog_Price*(1+Timber_Price_Esc)^Z6</f>
        <v>74.1142654169957</v>
      </c>
      <c r="AA8" s="21" t="n">
        <f aca="false">Sawlog_Price*(1+Timber_Price_Esc)^AA6</f>
        <v>75.5965507253356</v>
      </c>
      <c r="AB8" s="21" t="n">
        <f aca="false">Sawlog_Price*(1+Timber_Price_Esc)^AB6</f>
        <v>77.1084817398424</v>
      </c>
    </row>
    <row r="9" customFormat="false" ht="15" hidden="false" customHeight="false" outlineLevel="0" collapsed="false">
      <c r="B9" s="26" t="s">
        <v>168</v>
      </c>
      <c r="C9" s="21" t="n">
        <f aca="false">Pulpwood_Price*(1+Timber_Price_Esc)^C6</f>
        <v>18</v>
      </c>
      <c r="D9" s="21" t="n">
        <f aca="false">Pulpwood_Price*(1+Timber_Price_Esc)^D6</f>
        <v>18.36</v>
      </c>
      <c r="E9" s="21" t="n">
        <f aca="false">Pulpwood_Price*(1+Timber_Price_Esc)^E6</f>
        <v>18.7272</v>
      </c>
      <c r="F9" s="21" t="n">
        <f aca="false">Pulpwood_Price*(1+Timber_Price_Esc)^F6</f>
        <v>19.101744</v>
      </c>
      <c r="G9" s="21" t="n">
        <f aca="false">Pulpwood_Price*(1+Timber_Price_Esc)^G6</f>
        <v>19.48377888</v>
      </c>
      <c r="H9" s="21" t="n">
        <f aca="false">Pulpwood_Price*(1+Timber_Price_Esc)^H6</f>
        <v>19.8734544576</v>
      </c>
      <c r="I9" s="21" t="n">
        <f aca="false">Pulpwood_Price*(1+Timber_Price_Esc)^I6</f>
        <v>20.270923546752</v>
      </c>
      <c r="J9" s="21" t="n">
        <f aca="false">Pulpwood_Price*(1+Timber_Price_Esc)^J6</f>
        <v>20.676342017687</v>
      </c>
      <c r="K9" s="21" t="n">
        <f aca="false">Pulpwood_Price*(1+Timber_Price_Esc)^K6</f>
        <v>21.0898688580408</v>
      </c>
      <c r="L9" s="21" t="n">
        <f aca="false">Pulpwood_Price*(1+Timber_Price_Esc)^L6</f>
        <v>21.5116662352016</v>
      </c>
      <c r="M9" s="21" t="n">
        <f aca="false">Pulpwood_Price*(1+Timber_Price_Esc)^M6</f>
        <v>21.9418995599056</v>
      </c>
      <c r="N9" s="21" t="n">
        <f aca="false">Pulpwood_Price*(1+Timber_Price_Esc)^N6</f>
        <v>22.3807375511037</v>
      </c>
      <c r="O9" s="21" t="n">
        <f aca="false">Pulpwood_Price*(1+Timber_Price_Esc)^O6</f>
        <v>22.8283523021258</v>
      </c>
      <c r="P9" s="21" t="n">
        <f aca="false">Pulpwood_Price*(1+Timber_Price_Esc)^P6</f>
        <v>23.2849193481683</v>
      </c>
      <c r="Q9" s="21" t="n">
        <f aca="false">Pulpwood_Price*(1+Timber_Price_Esc)^Q6</f>
        <v>23.7506177351317</v>
      </c>
      <c r="R9" s="21" t="n">
        <f aca="false">Pulpwood_Price*(1+Timber_Price_Esc)^R6</f>
        <v>24.2256300898343</v>
      </c>
      <c r="S9" s="21" t="n">
        <f aca="false">Pulpwood_Price*(1+Timber_Price_Esc)^S6</f>
        <v>24.710142691631</v>
      </c>
      <c r="T9" s="21" t="n">
        <f aca="false">Pulpwood_Price*(1+Timber_Price_Esc)^T6</f>
        <v>25.2043455454636</v>
      </c>
      <c r="U9" s="21" t="n">
        <f aca="false">Pulpwood_Price*(1+Timber_Price_Esc)^U6</f>
        <v>25.7084324563729</v>
      </c>
      <c r="V9" s="21" t="n">
        <f aca="false">Pulpwood_Price*(1+Timber_Price_Esc)^V6</f>
        <v>26.2226011055004</v>
      </c>
      <c r="W9" s="21" t="n">
        <f aca="false">Pulpwood_Price*(1+Timber_Price_Esc)^W6</f>
        <v>26.7470531276104</v>
      </c>
      <c r="X9" s="21" t="n">
        <f aca="false">Pulpwood_Price*(1+Timber_Price_Esc)^X6</f>
        <v>27.2819941901626</v>
      </c>
      <c r="Y9" s="21" t="n">
        <f aca="false">Pulpwood_Price*(1+Timber_Price_Esc)^Y6</f>
        <v>27.8276340739658</v>
      </c>
      <c r="Z9" s="21" t="n">
        <f aca="false">Pulpwood_Price*(1+Timber_Price_Esc)^Z6</f>
        <v>28.3841867554452</v>
      </c>
      <c r="AA9" s="21" t="n">
        <f aca="false">Pulpwood_Price*(1+Timber_Price_Esc)^AA6</f>
        <v>28.9518704905541</v>
      </c>
      <c r="AB9" s="21" t="n">
        <f aca="false">Pulpwood_Price*(1+Timber_Price_Esc)^AB6</f>
        <v>29.5309079003652</v>
      </c>
    </row>
    <row r="10" customFormat="false" ht="15" hidden="false" customHeight="false" outlineLevel="0" collapsed="false">
      <c r="B10" s="26" t="s">
        <v>169</v>
      </c>
      <c r="C10" s="21" t="n">
        <f aca="false">Carbon_Price*(1+Carbon_Price_Esc)^C6</f>
        <v>20</v>
      </c>
      <c r="D10" s="21" t="n">
        <f aca="false">Carbon_Price*(1+Carbon_Price_Esc)^D6</f>
        <v>21</v>
      </c>
      <c r="E10" s="21" t="n">
        <f aca="false">Carbon_Price*(1+Carbon_Price_Esc)^E6</f>
        <v>22.05</v>
      </c>
      <c r="F10" s="21" t="n">
        <f aca="false">Carbon_Price*(1+Carbon_Price_Esc)^F6</f>
        <v>23.1525</v>
      </c>
      <c r="G10" s="21" t="n">
        <f aca="false">Carbon_Price*(1+Carbon_Price_Esc)^G6</f>
        <v>24.310125</v>
      </c>
      <c r="H10" s="21" t="n">
        <f aca="false">Carbon_Price*(1+Carbon_Price_Esc)^H6</f>
        <v>25.52563125</v>
      </c>
      <c r="I10" s="21" t="n">
        <f aca="false">Carbon_Price*(1+Carbon_Price_Esc)^I6</f>
        <v>26.8019128125</v>
      </c>
      <c r="J10" s="21" t="n">
        <f aca="false">Carbon_Price*(1+Carbon_Price_Esc)^J6</f>
        <v>28.142008453125</v>
      </c>
      <c r="K10" s="21" t="n">
        <f aca="false">Carbon_Price*(1+Carbon_Price_Esc)^K6</f>
        <v>29.5491088757813</v>
      </c>
      <c r="L10" s="21" t="n">
        <f aca="false">Carbon_Price*(1+Carbon_Price_Esc)^L6</f>
        <v>31.0265643195703</v>
      </c>
      <c r="M10" s="21" t="n">
        <f aca="false">Carbon_Price*(1+Carbon_Price_Esc)^M6</f>
        <v>32.5778925355488</v>
      </c>
      <c r="N10" s="21" t="n">
        <f aca="false">Carbon_Price*(1+Carbon_Price_Esc)^N6</f>
        <v>34.2067871623263</v>
      </c>
      <c r="O10" s="21" t="n">
        <f aca="false">Carbon_Price*(1+Carbon_Price_Esc)^O6</f>
        <v>35.9171265204426</v>
      </c>
      <c r="P10" s="21" t="n">
        <f aca="false">Carbon_Price*(1+Carbon_Price_Esc)^P6</f>
        <v>37.7129828464647</v>
      </c>
      <c r="Q10" s="21" t="n">
        <f aca="false">Carbon_Price*(1+Carbon_Price_Esc)^Q6</f>
        <v>39.598631988788</v>
      </c>
      <c r="R10" s="21" t="n">
        <f aca="false">Carbon_Price*(1+Carbon_Price_Esc)^R6</f>
        <v>41.5785635882274</v>
      </c>
      <c r="S10" s="21" t="n">
        <f aca="false">Carbon_Price*(1+Carbon_Price_Esc)^S6</f>
        <v>43.6574917676387</v>
      </c>
      <c r="T10" s="21" t="n">
        <f aca="false">Carbon_Price*(1+Carbon_Price_Esc)^T6</f>
        <v>45.8403663560207</v>
      </c>
      <c r="U10" s="21" t="n">
        <f aca="false">Carbon_Price*(1+Carbon_Price_Esc)^U6</f>
        <v>48.1323846738217</v>
      </c>
      <c r="V10" s="21" t="n">
        <f aca="false">Carbon_Price*(1+Carbon_Price_Esc)^V6</f>
        <v>50.5390039075128</v>
      </c>
      <c r="W10" s="21" t="n">
        <f aca="false">Carbon_Price*(1+Carbon_Price_Esc)^W6</f>
        <v>53.0659541028884</v>
      </c>
      <c r="X10" s="21" t="n">
        <f aca="false">Carbon_Price*(1+Carbon_Price_Esc)^X6</f>
        <v>55.7192518080329</v>
      </c>
      <c r="Y10" s="21" t="n">
        <f aca="false">Carbon_Price*(1+Carbon_Price_Esc)^Y6</f>
        <v>58.5052143984345</v>
      </c>
      <c r="Z10" s="21" t="n">
        <f aca="false">Carbon_Price*(1+Carbon_Price_Esc)^Z6</f>
        <v>61.4304751183563</v>
      </c>
      <c r="AA10" s="21" t="n">
        <f aca="false">Carbon_Price*(1+Carbon_Price_Esc)^AA6</f>
        <v>64.5019988742741</v>
      </c>
      <c r="AB10" s="21" t="n">
        <f aca="false">Carbon_Price*(1+Carbon_Price_Esc)^AB6</f>
        <v>67.7270988179878</v>
      </c>
    </row>
    <row r="11" customFormat="false" ht="15" hidden="false" customHeight="false" outlineLevel="0" collapsed="false">
      <c r="B11" s="26" t="s">
        <v>170</v>
      </c>
      <c r="C11" s="21" t="n">
        <f aca="false">Lease_Rate_Per_Ha*(1+Inflation_Rate)^C6</f>
        <v>8</v>
      </c>
      <c r="D11" s="21" t="n">
        <f aca="false">Lease_Rate_Per_Ha*(1+Inflation_Rate)^D6</f>
        <v>8.2</v>
      </c>
      <c r="E11" s="21" t="n">
        <f aca="false">Lease_Rate_Per_Ha*(1+Inflation_Rate)^E6</f>
        <v>8.405</v>
      </c>
      <c r="F11" s="21" t="n">
        <f aca="false">Lease_Rate_Per_Ha*(1+Inflation_Rate)^F6</f>
        <v>8.615125</v>
      </c>
      <c r="G11" s="21" t="n">
        <f aca="false">Lease_Rate_Per_Ha*(1+Inflation_Rate)^G6</f>
        <v>8.830503125</v>
      </c>
      <c r="H11" s="21" t="n">
        <f aca="false">Lease_Rate_Per_Ha*(1+Inflation_Rate)^H6</f>
        <v>9.051265703125</v>
      </c>
      <c r="I11" s="21" t="n">
        <f aca="false">Lease_Rate_Per_Ha*(1+Inflation_Rate)^I6</f>
        <v>9.27754734570312</v>
      </c>
      <c r="J11" s="21" t="n">
        <f aca="false">Lease_Rate_Per_Ha*(1+Inflation_Rate)^J6</f>
        <v>9.5094860293457</v>
      </c>
      <c r="K11" s="21" t="n">
        <f aca="false">Lease_Rate_Per_Ha*(1+Inflation_Rate)^K6</f>
        <v>9.74722318007934</v>
      </c>
      <c r="L11" s="21" t="n">
        <f aca="false">Lease_Rate_Per_Ha*(1+Inflation_Rate)^L6</f>
        <v>9.99090375958132</v>
      </c>
      <c r="M11" s="21" t="n">
        <f aca="false">Lease_Rate_Per_Ha*(1+Inflation_Rate)^M6</f>
        <v>10.2406763535709</v>
      </c>
      <c r="N11" s="21" t="n">
        <f aca="false">Lease_Rate_Per_Ha*(1+Inflation_Rate)^N6</f>
        <v>10.4966932624101</v>
      </c>
      <c r="O11" s="21" t="n">
        <f aca="false">Lease_Rate_Per_Ha*(1+Inflation_Rate)^O6</f>
        <v>10.7591105939704</v>
      </c>
      <c r="P11" s="21" t="n">
        <f aca="false">Lease_Rate_Per_Ha*(1+Inflation_Rate)^P6</f>
        <v>11.0280883588196</v>
      </c>
      <c r="Q11" s="21" t="n">
        <f aca="false">Lease_Rate_Per_Ha*(1+Inflation_Rate)^Q6</f>
        <v>11.3037905677901</v>
      </c>
      <c r="R11" s="21" t="n">
        <f aca="false">Lease_Rate_Per_Ha*(1+Inflation_Rate)^R6</f>
        <v>11.5863853319849</v>
      </c>
      <c r="S11" s="21" t="n">
        <f aca="false">Lease_Rate_Per_Ha*(1+Inflation_Rate)^S6</f>
        <v>11.8760449652845</v>
      </c>
      <c r="T11" s="21" t="n">
        <f aca="false">Lease_Rate_Per_Ha*(1+Inflation_Rate)^T6</f>
        <v>12.1729460894166</v>
      </c>
      <c r="U11" s="21" t="n">
        <f aca="false">Lease_Rate_Per_Ha*(1+Inflation_Rate)^U6</f>
        <v>12.477269741652</v>
      </c>
      <c r="V11" s="21" t="n">
        <f aca="false">Lease_Rate_Per_Ha*(1+Inflation_Rate)^V6</f>
        <v>12.7892014851933</v>
      </c>
      <c r="W11" s="21" t="n">
        <f aca="false">Lease_Rate_Per_Ha*(1+Inflation_Rate)^W6</f>
        <v>13.1089315223232</v>
      </c>
      <c r="X11" s="21" t="n">
        <f aca="false">Lease_Rate_Per_Ha*(1+Inflation_Rate)^X6</f>
        <v>13.4366548103812</v>
      </c>
      <c r="Y11" s="21" t="n">
        <f aca="false">Lease_Rate_Per_Ha*(1+Inflation_Rate)^Y6</f>
        <v>13.7725711806408</v>
      </c>
      <c r="Z11" s="21" t="n">
        <f aca="false">Lease_Rate_Per_Ha*(1+Inflation_Rate)^Z6</f>
        <v>14.1168854601568</v>
      </c>
      <c r="AA11" s="21" t="n">
        <f aca="false">Lease_Rate_Per_Ha*(1+Inflation_Rate)^AA6</f>
        <v>14.4698075966607</v>
      </c>
      <c r="AB11" s="21" t="n">
        <f aca="false">Lease_Rate_Per_Ha*(1+Inflation_Rate)^AB6</f>
        <v>14.8315527865772</v>
      </c>
    </row>
    <row r="12" customFormat="false" ht="15" hidden="false" customHeight="false" outlineLevel="0" collapsed="false">
      <c r="B12" s="25" t="s">
        <v>171</v>
      </c>
      <c r="C12" s="8"/>
      <c r="D12" s="8"/>
      <c r="E12" s="8"/>
      <c r="F12" s="8"/>
      <c r="G12" s="8"/>
      <c r="H12" s="8"/>
      <c r="I12" s="8"/>
      <c r="J12" s="8"/>
      <c r="K12" s="8"/>
      <c r="L12" s="8"/>
      <c r="M12" s="8"/>
      <c r="N12" s="8"/>
      <c r="O12" s="8"/>
      <c r="P12" s="8"/>
      <c r="Q12" s="8"/>
      <c r="R12" s="8"/>
      <c r="S12" s="8"/>
      <c r="T12" s="8"/>
      <c r="U12" s="8"/>
      <c r="V12" s="8"/>
      <c r="W12" s="8"/>
      <c r="X12" s="8"/>
      <c r="Y12" s="8"/>
      <c r="Z12" s="8"/>
      <c r="AA12" s="8"/>
      <c r="AB12" s="8"/>
    </row>
    <row r="13" customFormat="false" ht="15" hidden="false" customHeight="false" outlineLevel="0" collapsed="false">
      <c r="B13" s="26" t="s">
        <v>172</v>
      </c>
      <c r="C13" s="21" t="n">
        <f aca="false">Harvest_Schedule!C9*Sawlog_Pct_Thin*C8</f>
        <v>0</v>
      </c>
      <c r="D13" s="21" t="n">
        <f aca="false">Harvest_Schedule!D9*Sawlog_Pct_Thin*D8</f>
        <v>0</v>
      </c>
      <c r="E13" s="21" t="n">
        <f aca="false">Harvest_Schedule!E9*Sawlog_Pct_Thin*E8</f>
        <v>0</v>
      </c>
      <c r="F13" s="21" t="n">
        <f aca="false">Harvest_Schedule!F9*Sawlog_Pct_Thin*F8</f>
        <v>0</v>
      </c>
      <c r="G13" s="21" t="n">
        <f aca="false">Harvest_Schedule!G9*Sawlog_Pct_Thin*G8</f>
        <v>0</v>
      </c>
      <c r="H13" s="21" t="n">
        <f aca="false">Harvest_Schedule!H9*Sawlog_Pct_Thin*H8</f>
        <v>165405.1053294</v>
      </c>
      <c r="I13" s="21" t="n">
        <f aca="false">Harvest_Schedule!I9*Sawlog_Pct_Thin*I8</f>
        <v>168713.207435988</v>
      </c>
      <c r="J13" s="21" t="n">
        <f aca="false">Harvest_Schedule!J9*Sawlog_Pct_Thin*J8</f>
        <v>172087.471584708</v>
      </c>
      <c r="K13" s="21" t="n">
        <f aca="false">Harvest_Schedule!K9*Sawlog_Pct_Thin*K8</f>
        <v>175529.221016402</v>
      </c>
      <c r="L13" s="21" t="n">
        <f aca="false">Harvest_Schedule!L9*Sawlog_Pct_Thin*L8</f>
        <v>179039.80543673</v>
      </c>
      <c r="M13" s="21" t="n">
        <f aca="false">Harvest_Schedule!M9*Sawlog_Pct_Thin*M8</f>
        <v>182620.601545465</v>
      </c>
      <c r="N13" s="21" t="n">
        <f aca="false">Harvest_Schedule!N9*Sawlog_Pct_Thin*N8</f>
        <v>186273.013576374</v>
      </c>
      <c r="O13" s="21" t="n">
        <f aca="false">Harvest_Schedule!O9*Sawlog_Pct_Thin*O8</f>
        <v>189998.473847901</v>
      </c>
      <c r="P13" s="21" t="n">
        <f aca="false">Harvest_Schedule!P9*Sawlog_Pct_Thin*P8</f>
        <v>193798.443324859</v>
      </c>
      <c r="Q13" s="21" t="n">
        <f aca="false">Harvest_Schedule!Q9*Sawlog_Pct_Thin*Q8</f>
        <v>197674.412191357</v>
      </c>
      <c r="R13" s="21" t="n">
        <f aca="false">Harvest_Schedule!R9*Sawlog_Pct_Thin*R8</f>
        <v>201627.900435184</v>
      </c>
      <c r="S13" s="21" t="n">
        <f aca="false">Harvest_Schedule!S9*Sawlog_Pct_Thin*S8</f>
        <v>205660.458443887</v>
      </c>
      <c r="T13" s="21" t="n">
        <f aca="false">Harvest_Schedule!T9*Sawlog_Pct_Thin*T8</f>
        <v>209773.667612765</v>
      </c>
      <c r="U13" s="21" t="n">
        <f aca="false">Harvest_Schedule!U9*Sawlog_Pct_Thin*U8</f>
        <v>213969.14096502</v>
      </c>
      <c r="V13" s="21" t="n">
        <f aca="false">Harvest_Schedule!V9*Sawlog_Pct_Thin*V8</f>
        <v>218248.523784321</v>
      </c>
      <c r="W13" s="21" t="n">
        <f aca="false">Harvest_Schedule!W9*Sawlog_Pct_Thin*W8</f>
        <v>222613.494260007</v>
      </c>
      <c r="X13" s="21" t="n">
        <f aca="false">Harvest_Schedule!X9*Sawlog_Pct_Thin*X8</f>
        <v>227065.764145207</v>
      </c>
      <c r="Y13" s="21" t="n">
        <f aca="false">Harvest_Schedule!Y9*Sawlog_Pct_Thin*Y8</f>
        <v>231607.079428112</v>
      </c>
      <c r="Z13" s="21" t="n">
        <f aca="false">Harvest_Schedule!Z9*Sawlog_Pct_Thin*Z8</f>
        <v>236239.221016674</v>
      </c>
      <c r="AA13" s="21" t="n">
        <f aca="false">Harvest_Schedule!AA9*Sawlog_Pct_Thin*AA8</f>
        <v>240964.005437007</v>
      </c>
      <c r="AB13" s="21" t="n">
        <f aca="false">Harvest_Schedule!AB9*Sawlog_Pct_Thin*AB8</f>
        <v>0</v>
      </c>
    </row>
    <row r="14" customFormat="false" ht="15" hidden="false" customHeight="false" outlineLevel="0" collapsed="false">
      <c r="B14" s="26" t="s">
        <v>173</v>
      </c>
      <c r="C14" s="21" t="n">
        <f aca="false">Harvest_Schedule!C9*Pulpwood_Pct_Thin*C9</f>
        <v>0</v>
      </c>
      <c r="D14" s="21" t="n">
        <f aca="false">Harvest_Schedule!D9*Pulpwood_Pct_Thin*D9</f>
        <v>0</v>
      </c>
      <c r="E14" s="21" t="n">
        <f aca="false">Harvest_Schedule!E9*Pulpwood_Pct_Thin*E9</f>
        <v>0</v>
      </c>
      <c r="F14" s="21" t="n">
        <f aca="false">Harvest_Schedule!F9*Pulpwood_Pct_Thin*F9</f>
        <v>0</v>
      </c>
      <c r="G14" s="21" t="n">
        <f aca="false">Harvest_Schedule!G9*Pulpwood_Pct_Thin*G9</f>
        <v>0</v>
      </c>
      <c r="H14" s="21" t="n">
        <f aca="false">Harvest_Schedule!H9*Pulpwood_Pct_Thin*H9</f>
        <v>570119.7247524</v>
      </c>
      <c r="I14" s="21" t="n">
        <f aca="false">Harvest_Schedule!I9*Pulpwood_Pct_Thin*I9</f>
        <v>581522.119247448</v>
      </c>
      <c r="J14" s="21" t="n">
        <f aca="false">Harvest_Schedule!J9*Pulpwood_Pct_Thin*J9</f>
        <v>593152.561632397</v>
      </c>
      <c r="K14" s="21" t="n">
        <f aca="false">Harvest_Schedule!K9*Pulpwood_Pct_Thin*K9</f>
        <v>605015.612865045</v>
      </c>
      <c r="L14" s="21" t="n">
        <f aca="false">Harvest_Schedule!L9*Pulpwood_Pct_Thin*L9</f>
        <v>617115.925122346</v>
      </c>
      <c r="M14" s="21" t="n">
        <f aca="false">Harvest_Schedule!M9*Pulpwood_Pct_Thin*M9</f>
        <v>629458.243624793</v>
      </c>
      <c r="N14" s="21" t="n">
        <f aca="false">Harvest_Schedule!N9*Pulpwood_Pct_Thin*N9</f>
        <v>642047.408497289</v>
      </c>
      <c r="O14" s="21" t="n">
        <f aca="false">Harvest_Schedule!O9*Pulpwood_Pct_Thin*O9</f>
        <v>654888.356667234</v>
      </c>
      <c r="P14" s="21" t="n">
        <f aca="false">Harvest_Schedule!P9*Pulpwood_Pct_Thin*P9</f>
        <v>667986.123800579</v>
      </c>
      <c r="Q14" s="21" t="n">
        <f aca="false">Harvest_Schedule!Q9*Pulpwood_Pct_Thin*Q9</f>
        <v>681345.846276591</v>
      </c>
      <c r="R14" s="21" t="n">
        <f aca="false">Harvest_Schedule!R9*Pulpwood_Pct_Thin*R9</f>
        <v>694972.763202123</v>
      </c>
      <c r="S14" s="21" t="n">
        <f aca="false">Harvest_Schedule!S9*Pulpwood_Pct_Thin*S9</f>
        <v>708872.218466165</v>
      </c>
      <c r="T14" s="21" t="n">
        <f aca="false">Harvest_Schedule!T9*Pulpwood_Pct_Thin*T9</f>
        <v>723049.662835488</v>
      </c>
      <c r="U14" s="21" t="n">
        <f aca="false">Harvest_Schedule!U9*Pulpwood_Pct_Thin*U9</f>
        <v>737510.656092198</v>
      </c>
      <c r="V14" s="21" t="n">
        <f aca="false">Harvest_Schedule!V9*Pulpwood_Pct_Thin*V9</f>
        <v>752260.869214042</v>
      </c>
      <c r="W14" s="21" t="n">
        <f aca="false">Harvest_Schedule!W9*Pulpwood_Pct_Thin*W9</f>
        <v>767306.086598323</v>
      </c>
      <c r="X14" s="21" t="n">
        <f aca="false">Harvest_Schedule!X9*Pulpwood_Pct_Thin*X9</f>
        <v>782652.208330289</v>
      </c>
      <c r="Y14" s="21" t="n">
        <f aca="false">Harvest_Schedule!Y9*Pulpwood_Pct_Thin*Y9</f>
        <v>798305.252496895</v>
      </c>
      <c r="Z14" s="21" t="n">
        <f aca="false">Harvest_Schedule!Z9*Pulpwood_Pct_Thin*Z9</f>
        <v>814271.357546833</v>
      </c>
      <c r="AA14" s="21" t="n">
        <f aca="false">Harvest_Schedule!AA9*Pulpwood_Pct_Thin*AA9</f>
        <v>830556.78469777</v>
      </c>
      <c r="AB14" s="21" t="n">
        <f aca="false">Harvest_Schedule!AB9*Pulpwood_Pct_Thin*AB9</f>
        <v>0</v>
      </c>
    </row>
    <row r="15" customFormat="false" ht="15" hidden="false" customHeight="false" outlineLevel="0" collapsed="false">
      <c r="B15" s="26" t="s">
        <v>174</v>
      </c>
      <c r="C15" s="27" t="n">
        <f aca="false">C13+C14</f>
        <v>0</v>
      </c>
      <c r="D15" s="27" t="n">
        <f aca="false">D13+D14</f>
        <v>0</v>
      </c>
      <c r="E15" s="27" t="n">
        <f aca="false">E13+E14</f>
        <v>0</v>
      </c>
      <c r="F15" s="27" t="n">
        <f aca="false">F13+F14</f>
        <v>0</v>
      </c>
      <c r="G15" s="27" t="n">
        <f aca="false">G13+G14</f>
        <v>0</v>
      </c>
      <c r="H15" s="27" t="n">
        <f aca="false">H13+H14</f>
        <v>735524.8300818</v>
      </c>
      <c r="I15" s="27" t="n">
        <f aca="false">I13+I14</f>
        <v>750235.326683436</v>
      </c>
      <c r="J15" s="27" t="n">
        <f aca="false">J13+J14</f>
        <v>765240.033217105</v>
      </c>
      <c r="K15" s="27" t="n">
        <f aca="false">K13+K14</f>
        <v>780544.833881447</v>
      </c>
      <c r="L15" s="27" t="n">
        <f aca="false">L13+L14</f>
        <v>796155.730559076</v>
      </c>
      <c r="M15" s="27" t="n">
        <f aca="false">M13+M14</f>
        <v>812078.845170257</v>
      </c>
      <c r="N15" s="27" t="n">
        <f aca="false">N13+N14</f>
        <v>828320.422073663</v>
      </c>
      <c r="O15" s="27" t="n">
        <f aca="false">O13+O14</f>
        <v>844886.830515136</v>
      </c>
      <c r="P15" s="27" t="n">
        <f aca="false">P13+P14</f>
        <v>861784.567125439</v>
      </c>
      <c r="Q15" s="27" t="n">
        <f aca="false">Q13+Q14</f>
        <v>879020.258467947</v>
      </c>
      <c r="R15" s="27" t="n">
        <f aca="false">R13+R14</f>
        <v>896600.663637306</v>
      </c>
      <c r="S15" s="27" t="n">
        <f aca="false">S13+S14</f>
        <v>914532.676910052</v>
      </c>
      <c r="T15" s="27" t="n">
        <f aca="false">T13+T14</f>
        <v>932823.330448253</v>
      </c>
      <c r="U15" s="27" t="n">
        <f aca="false">U13+U14</f>
        <v>951479.797057219</v>
      </c>
      <c r="V15" s="27" t="n">
        <f aca="false">V13+V14</f>
        <v>970509.392998363</v>
      </c>
      <c r="W15" s="27" t="n">
        <f aca="false">W13+W14</f>
        <v>989919.58085833</v>
      </c>
      <c r="X15" s="27" t="n">
        <f aca="false">X13+X14</f>
        <v>1009717.9724755</v>
      </c>
      <c r="Y15" s="27" t="n">
        <f aca="false">Y13+Y14</f>
        <v>1029912.33192501</v>
      </c>
      <c r="Z15" s="27" t="n">
        <f aca="false">Z13+Z14</f>
        <v>1050510.57856351</v>
      </c>
      <c r="AA15" s="27" t="n">
        <f aca="false">AA13+AA14</f>
        <v>1071520.79013478</v>
      </c>
      <c r="AB15" s="27" t="n">
        <f aca="false">AB13+AB14</f>
        <v>0</v>
      </c>
    </row>
    <row r="16" customFormat="false" ht="15" hidden="false" customHeight="false" outlineLevel="0" collapsed="false">
      <c r="B16" s="25" t="s">
        <v>175</v>
      </c>
      <c r="C16" s="8"/>
      <c r="D16" s="8"/>
      <c r="E16" s="8"/>
      <c r="F16" s="8"/>
      <c r="G16" s="8"/>
      <c r="H16" s="8"/>
      <c r="I16" s="8"/>
      <c r="J16" s="8"/>
      <c r="K16" s="8"/>
      <c r="L16" s="8"/>
      <c r="M16" s="8"/>
      <c r="N16" s="8"/>
      <c r="O16" s="8"/>
      <c r="P16" s="8"/>
      <c r="Q16" s="8"/>
      <c r="R16" s="8"/>
      <c r="S16" s="8"/>
      <c r="T16" s="8"/>
      <c r="U16" s="8"/>
      <c r="V16" s="8"/>
      <c r="W16" s="8"/>
      <c r="X16" s="8"/>
      <c r="Y16" s="8"/>
      <c r="Z16" s="8"/>
      <c r="AA16" s="8"/>
      <c r="AB16" s="8"/>
    </row>
    <row r="17" customFormat="false" ht="15" hidden="false" customHeight="false" outlineLevel="0" collapsed="false">
      <c r="B17" s="26" t="s">
        <v>176</v>
      </c>
      <c r="C17" s="21" t="n">
        <f aca="false">Harvest_Schedule!C10*Sawlog_Pct_Clear*C8</f>
        <v>0</v>
      </c>
      <c r="D17" s="21" t="n">
        <f aca="false">Harvest_Schedule!D10*Sawlog_Pct_Clear*D8</f>
        <v>0</v>
      </c>
      <c r="E17" s="21" t="n">
        <f aca="false">Harvest_Schedule!E10*Sawlog_Pct_Clear*E8</f>
        <v>0</v>
      </c>
      <c r="F17" s="21" t="n">
        <f aca="false">Harvest_Schedule!F10*Sawlog_Pct_Clear*F8</f>
        <v>0</v>
      </c>
      <c r="G17" s="21" t="n">
        <f aca="false">Harvest_Schedule!G10*Sawlog_Pct_Clear*G8</f>
        <v>0</v>
      </c>
      <c r="H17" s="21" t="n">
        <f aca="false">Harvest_Schedule!H10*Sawlog_Pct_Clear*H8</f>
        <v>0</v>
      </c>
      <c r="I17" s="21" t="n">
        <f aca="false">Harvest_Schedule!I10*Sawlog_Pct_Clear*I8</f>
        <v>0</v>
      </c>
      <c r="J17" s="21" t="n">
        <f aca="false">Harvest_Schedule!J10*Sawlog_Pct_Clear*J8</f>
        <v>0</v>
      </c>
      <c r="K17" s="21" t="n">
        <f aca="false">Harvest_Schedule!K10*Sawlog_Pct_Clear*K8</f>
        <v>0</v>
      </c>
      <c r="L17" s="21" t="n">
        <f aca="false">Harvest_Schedule!L10*Sawlog_Pct_Clear*L8</f>
        <v>0</v>
      </c>
      <c r="M17" s="21" t="n">
        <f aca="false">Harvest_Schedule!M10*Sawlog_Pct_Clear*M8</f>
        <v>0</v>
      </c>
      <c r="N17" s="21" t="n">
        <f aca="false">Harvest_Schedule!N10*Sawlog_Pct_Clear*N8</f>
        <v>0</v>
      </c>
      <c r="O17" s="21" t="n">
        <f aca="false">Harvest_Schedule!O10*Sawlog_Pct_Clear*O8</f>
        <v>0</v>
      </c>
      <c r="P17" s="21" t="n">
        <f aca="false">Harvest_Schedule!P10*Sawlog_Pct_Clear*P8</f>
        <v>0</v>
      </c>
      <c r="Q17" s="21" t="n">
        <f aca="false">Harvest_Schedule!Q10*Sawlog_Pct_Clear*Q8</f>
        <v>0</v>
      </c>
      <c r="R17" s="21" t="n">
        <f aca="false">Harvest_Schedule!R10*Sawlog_Pct_Clear*R8</f>
        <v>0</v>
      </c>
      <c r="S17" s="21" t="n">
        <f aca="false">Harvest_Schedule!S10*Sawlog_Pct_Clear*S8</f>
        <v>0</v>
      </c>
      <c r="T17" s="21" t="n">
        <f aca="false">Harvest_Schedule!T10*Sawlog_Pct_Clear*T8</f>
        <v>0</v>
      </c>
      <c r="U17" s="21" t="n">
        <f aca="false">Harvest_Schedule!U10*Sawlog_Pct_Clear*U8</f>
        <v>0</v>
      </c>
      <c r="V17" s="21" t="n">
        <f aca="false">Harvest_Schedule!V10*Sawlog_Pct_Clear*V8</f>
        <v>0</v>
      </c>
      <c r="W17" s="21" t="n">
        <f aca="false">Harvest_Schedule!W10*Sawlog_Pct_Clear*W8</f>
        <v>0</v>
      </c>
      <c r="X17" s="21" t="n">
        <f aca="false">Harvest_Schedule!X10*Sawlog_Pct_Clear*X8</f>
        <v>0</v>
      </c>
      <c r="Y17" s="21" t="n">
        <f aca="false">Harvest_Schedule!Y10*Sawlog_Pct_Clear*Y8</f>
        <v>0</v>
      </c>
      <c r="Z17" s="21" t="n">
        <f aca="false">Harvest_Schedule!Z10*Sawlog_Pct_Clear*Z8</f>
        <v>0</v>
      </c>
      <c r="AA17" s="21" t="n">
        <f aca="false">Harvest_Schedule!AA10*Sawlog_Pct_Clear*AA8</f>
        <v>0</v>
      </c>
      <c r="AB17" s="21" t="n">
        <f aca="false">Harvest_Schedule!AB10*Sawlog_Pct_Clear*AB8</f>
        <v>134197673.907978</v>
      </c>
    </row>
    <row r="18" customFormat="false" ht="15" hidden="false" customHeight="false" outlineLevel="0" collapsed="false">
      <c r="B18" s="26" t="s">
        <v>177</v>
      </c>
      <c r="C18" s="21" t="n">
        <f aca="false">Harvest_Schedule!C10*Pulpwood_Pct_Clear*C9</f>
        <v>0</v>
      </c>
      <c r="D18" s="21" t="n">
        <f aca="false">Harvest_Schedule!D10*Pulpwood_Pct_Clear*D9</f>
        <v>0</v>
      </c>
      <c r="E18" s="21" t="n">
        <f aca="false">Harvest_Schedule!E10*Pulpwood_Pct_Clear*E9</f>
        <v>0</v>
      </c>
      <c r="F18" s="21" t="n">
        <f aca="false">Harvest_Schedule!F10*Pulpwood_Pct_Clear*F9</f>
        <v>0</v>
      </c>
      <c r="G18" s="21" t="n">
        <f aca="false">Harvest_Schedule!G10*Pulpwood_Pct_Clear*G9</f>
        <v>0</v>
      </c>
      <c r="H18" s="21" t="n">
        <f aca="false">Harvest_Schedule!H10*Pulpwood_Pct_Clear*H9</f>
        <v>0</v>
      </c>
      <c r="I18" s="21" t="n">
        <f aca="false">Harvest_Schedule!I10*Pulpwood_Pct_Clear*I9</f>
        <v>0</v>
      </c>
      <c r="J18" s="21" t="n">
        <f aca="false">Harvest_Schedule!J10*Pulpwood_Pct_Clear*J9</f>
        <v>0</v>
      </c>
      <c r="K18" s="21" t="n">
        <f aca="false">Harvest_Schedule!K10*Pulpwood_Pct_Clear*K9</f>
        <v>0</v>
      </c>
      <c r="L18" s="21" t="n">
        <f aca="false">Harvest_Schedule!L10*Pulpwood_Pct_Clear*L9</f>
        <v>0</v>
      </c>
      <c r="M18" s="21" t="n">
        <f aca="false">Harvest_Schedule!M10*Pulpwood_Pct_Clear*M9</f>
        <v>0</v>
      </c>
      <c r="N18" s="21" t="n">
        <f aca="false">Harvest_Schedule!N10*Pulpwood_Pct_Clear*N9</f>
        <v>0</v>
      </c>
      <c r="O18" s="21" t="n">
        <f aca="false">Harvest_Schedule!O10*Pulpwood_Pct_Clear*O9</f>
        <v>0</v>
      </c>
      <c r="P18" s="21" t="n">
        <f aca="false">Harvest_Schedule!P10*Pulpwood_Pct_Clear*P9</f>
        <v>0</v>
      </c>
      <c r="Q18" s="21" t="n">
        <f aca="false">Harvest_Schedule!Q10*Pulpwood_Pct_Clear*Q9</f>
        <v>0</v>
      </c>
      <c r="R18" s="21" t="n">
        <f aca="false">Harvest_Schedule!R10*Pulpwood_Pct_Clear*R9</f>
        <v>0</v>
      </c>
      <c r="S18" s="21" t="n">
        <f aca="false">Harvest_Schedule!S10*Pulpwood_Pct_Clear*S9</f>
        <v>0</v>
      </c>
      <c r="T18" s="21" t="n">
        <f aca="false">Harvest_Schedule!T10*Pulpwood_Pct_Clear*T9</f>
        <v>0</v>
      </c>
      <c r="U18" s="21" t="n">
        <f aca="false">Harvest_Schedule!U10*Pulpwood_Pct_Clear*U9</f>
        <v>0</v>
      </c>
      <c r="V18" s="21" t="n">
        <f aca="false">Harvest_Schedule!V10*Pulpwood_Pct_Clear*V9</f>
        <v>0</v>
      </c>
      <c r="W18" s="21" t="n">
        <f aca="false">Harvest_Schedule!W10*Pulpwood_Pct_Clear*W9</f>
        <v>0</v>
      </c>
      <c r="X18" s="21" t="n">
        <f aca="false">Harvest_Schedule!X10*Pulpwood_Pct_Clear*X9</f>
        <v>0</v>
      </c>
      <c r="Y18" s="21" t="n">
        <f aca="false">Harvest_Schedule!Y10*Pulpwood_Pct_Clear*Y9</f>
        <v>0</v>
      </c>
      <c r="Z18" s="21" t="n">
        <f aca="false">Harvest_Schedule!Z10*Pulpwood_Pct_Clear*Z9</f>
        <v>0</v>
      </c>
      <c r="AA18" s="21" t="n">
        <f aca="false">Harvest_Schedule!AA10*Pulpwood_Pct_Clear*AA9</f>
        <v>0</v>
      </c>
      <c r="AB18" s="21" t="n">
        <f aca="false">Harvest_Schedule!AB10*Pulpwood_Pct_Clear*AB9</f>
        <v>27674152.0661297</v>
      </c>
    </row>
    <row r="19" customFormat="false" ht="15" hidden="false" customHeight="false" outlineLevel="0" collapsed="false">
      <c r="B19" s="26" t="s">
        <v>178</v>
      </c>
      <c r="C19" s="27" t="n">
        <f aca="false">C17+C18</f>
        <v>0</v>
      </c>
      <c r="D19" s="27" t="n">
        <f aca="false">D17+D18</f>
        <v>0</v>
      </c>
      <c r="E19" s="27" t="n">
        <f aca="false">E17+E18</f>
        <v>0</v>
      </c>
      <c r="F19" s="27" t="n">
        <f aca="false">F17+F18</f>
        <v>0</v>
      </c>
      <c r="G19" s="27" t="n">
        <f aca="false">G17+G18</f>
        <v>0</v>
      </c>
      <c r="H19" s="27" t="n">
        <f aca="false">H17+H18</f>
        <v>0</v>
      </c>
      <c r="I19" s="27" t="n">
        <f aca="false">I17+I18</f>
        <v>0</v>
      </c>
      <c r="J19" s="27" t="n">
        <f aca="false">J17+J18</f>
        <v>0</v>
      </c>
      <c r="K19" s="27" t="n">
        <f aca="false">K17+K18</f>
        <v>0</v>
      </c>
      <c r="L19" s="27" t="n">
        <f aca="false">L17+L18</f>
        <v>0</v>
      </c>
      <c r="M19" s="27" t="n">
        <f aca="false">M17+M18</f>
        <v>0</v>
      </c>
      <c r="N19" s="27" t="n">
        <f aca="false">N17+N18</f>
        <v>0</v>
      </c>
      <c r="O19" s="27" t="n">
        <f aca="false">O17+O18</f>
        <v>0</v>
      </c>
      <c r="P19" s="27" t="n">
        <f aca="false">P17+P18</f>
        <v>0</v>
      </c>
      <c r="Q19" s="27" t="n">
        <f aca="false">Q17+Q18</f>
        <v>0</v>
      </c>
      <c r="R19" s="27" t="n">
        <f aca="false">R17+R18</f>
        <v>0</v>
      </c>
      <c r="S19" s="27" t="n">
        <f aca="false">S17+S18</f>
        <v>0</v>
      </c>
      <c r="T19" s="27" t="n">
        <f aca="false">T17+T18</f>
        <v>0</v>
      </c>
      <c r="U19" s="27" t="n">
        <f aca="false">U17+U18</f>
        <v>0</v>
      </c>
      <c r="V19" s="27" t="n">
        <f aca="false">V17+V18</f>
        <v>0</v>
      </c>
      <c r="W19" s="27" t="n">
        <f aca="false">W17+W18</f>
        <v>0</v>
      </c>
      <c r="X19" s="27" t="n">
        <f aca="false">X17+X18</f>
        <v>0</v>
      </c>
      <c r="Y19" s="27" t="n">
        <f aca="false">Y17+Y18</f>
        <v>0</v>
      </c>
      <c r="Z19" s="27" t="n">
        <f aca="false">Z17+Z18</f>
        <v>0</v>
      </c>
      <c r="AA19" s="27" t="n">
        <f aca="false">AA17+AA18</f>
        <v>0</v>
      </c>
      <c r="AB19" s="27" t="n">
        <f aca="false">AB17+AB18</f>
        <v>161871825.974108</v>
      </c>
    </row>
    <row r="20" customFormat="false" ht="15" hidden="false" customHeight="false" outlineLevel="0" collapsed="false">
      <c r="B20" s="25" t="s">
        <v>179</v>
      </c>
      <c r="C20" s="8"/>
      <c r="D20" s="8"/>
      <c r="E20" s="8"/>
      <c r="F20" s="8"/>
      <c r="G20" s="8"/>
      <c r="H20" s="8"/>
      <c r="I20" s="8"/>
      <c r="J20" s="8"/>
      <c r="K20" s="8"/>
      <c r="L20" s="8"/>
      <c r="M20" s="8"/>
      <c r="N20" s="8"/>
      <c r="O20" s="8"/>
      <c r="P20" s="8"/>
      <c r="Q20" s="8"/>
      <c r="R20" s="8"/>
      <c r="S20" s="8"/>
      <c r="T20" s="8"/>
      <c r="U20" s="8"/>
      <c r="V20" s="8"/>
      <c r="W20" s="8"/>
      <c r="X20" s="8"/>
      <c r="Y20" s="8"/>
      <c r="Z20" s="8"/>
      <c r="AA20" s="8"/>
      <c r="AB20" s="8"/>
    </row>
    <row r="21" customFormat="false" ht="15" hidden="false" customHeight="false" outlineLevel="0" collapsed="false">
      <c r="B21" s="26" t="s">
        <v>180</v>
      </c>
      <c r="C21" s="21" t="n">
        <f aca="false">IF(C6&gt;0,Plantable_Area*Carbon_Seq_Per_Ha*C10,0)</f>
        <v>0</v>
      </c>
      <c r="D21" s="21" t="n">
        <f aca="false">IF(D6&gt;0,Plantable_Area*Carbon_Seq_Per_Ha*D10,0)</f>
        <v>267750</v>
      </c>
      <c r="E21" s="21" t="n">
        <f aca="false">IF(E6&gt;0,Plantable_Area*Carbon_Seq_Per_Ha*E10,0)</f>
        <v>281137.5</v>
      </c>
      <c r="F21" s="21" t="n">
        <f aca="false">IF(F6&gt;0,Plantable_Area*Carbon_Seq_Per_Ha*F10,0)</f>
        <v>295194.375</v>
      </c>
      <c r="G21" s="21" t="n">
        <f aca="false">IF(G6&gt;0,Plantable_Area*Carbon_Seq_Per_Ha*G10,0)</f>
        <v>309954.09375</v>
      </c>
      <c r="H21" s="21" t="n">
        <f aca="false">IF(H6&gt;0,Plantable_Area*Carbon_Seq_Per_Ha*H10,0)</f>
        <v>325451.7984375</v>
      </c>
      <c r="I21" s="21" t="n">
        <f aca="false">IF(I6&gt;0,Plantable_Area*Carbon_Seq_Per_Ha*I10,0)</f>
        <v>341724.388359375</v>
      </c>
      <c r="J21" s="21" t="n">
        <f aca="false">IF(J6&gt;0,Plantable_Area*Carbon_Seq_Per_Ha*J10,0)</f>
        <v>358810.607777344</v>
      </c>
      <c r="K21" s="21" t="n">
        <f aca="false">IF(K6&gt;0,Plantable_Area*Carbon_Seq_Per_Ha*K10,0)</f>
        <v>376751.138166211</v>
      </c>
      <c r="L21" s="21" t="n">
        <f aca="false">IF(L6&gt;0,Plantable_Area*Carbon_Seq_Per_Ha*L10,0)</f>
        <v>395588.695074522</v>
      </c>
      <c r="M21" s="21" t="n">
        <f aca="false">IF(M6&gt;0,Plantable_Area*Carbon_Seq_Per_Ha*M10,0)</f>
        <v>415368.129828248</v>
      </c>
      <c r="N21" s="21" t="n">
        <f aca="false">IF(N6&gt;0,Plantable_Area*Carbon_Seq_Per_Ha*N10,0)</f>
        <v>436136.53631966</v>
      </c>
      <c r="O21" s="21" t="n">
        <f aca="false">IF(O6&gt;0,Plantable_Area*Carbon_Seq_Per_Ha*O10,0)</f>
        <v>457943.363135643</v>
      </c>
      <c r="P21" s="21" t="n">
        <f aca="false">IF(P6&gt;0,Plantable_Area*Carbon_Seq_Per_Ha*P10,0)</f>
        <v>480840.531292425</v>
      </c>
      <c r="Q21" s="21" t="n">
        <f aca="false">IF(Q6&gt;0,Plantable_Area*Carbon_Seq_Per_Ha*Q10,0)</f>
        <v>504882.557857047</v>
      </c>
      <c r="R21" s="21" t="n">
        <f aca="false">IF(R6&gt;0,Plantable_Area*Carbon_Seq_Per_Ha*R10,0)</f>
        <v>530126.685749899</v>
      </c>
      <c r="S21" s="21" t="n">
        <f aca="false">IF(S6&gt;0,Plantable_Area*Carbon_Seq_Per_Ha*S10,0)</f>
        <v>556633.020037394</v>
      </c>
      <c r="T21" s="21" t="n">
        <f aca="false">IF(T6&gt;0,Plantable_Area*Carbon_Seq_Per_Ha*T10,0)</f>
        <v>584464.671039264</v>
      </c>
      <c r="U21" s="21" t="n">
        <f aca="false">IF(U6&gt;0,Plantable_Area*Carbon_Seq_Per_Ha*U10,0)</f>
        <v>613687.904591227</v>
      </c>
      <c r="V21" s="21" t="n">
        <f aca="false">IF(V6&gt;0,Plantable_Area*Carbon_Seq_Per_Ha*V10,0)</f>
        <v>644372.299820788</v>
      </c>
      <c r="W21" s="21" t="n">
        <f aca="false">IF(W6&gt;0,Plantable_Area*Carbon_Seq_Per_Ha*W10,0)</f>
        <v>676590.914811828</v>
      </c>
      <c r="X21" s="21" t="n">
        <f aca="false">IF(X6&gt;0,Plantable_Area*Carbon_Seq_Per_Ha*X10,0)</f>
        <v>710420.460552419</v>
      </c>
      <c r="Y21" s="21" t="n">
        <f aca="false">IF(Y6&gt;0,Plantable_Area*Carbon_Seq_Per_Ha*Y10,0)</f>
        <v>745941.48358004</v>
      </c>
      <c r="Z21" s="21" t="n">
        <f aca="false">IF(Z6&gt;0,Plantable_Area*Carbon_Seq_Per_Ha*Z10,0)</f>
        <v>783238.557759042</v>
      </c>
      <c r="AA21" s="21" t="n">
        <f aca="false">IF(AA6&gt;0,Plantable_Area*Carbon_Seq_Per_Ha*AA10,0)</f>
        <v>822400.485646994</v>
      </c>
      <c r="AB21" s="21" t="n">
        <f aca="false">IF(AB6&gt;0,Plantable_Area*Carbon_Seq_Per_Ha*AB10,0)</f>
        <v>863520.509929344</v>
      </c>
    </row>
    <row r="22" customFormat="false" ht="15" hidden="false" customHeight="false" outlineLevel="0" collapsed="false">
      <c r="B22" s="26" t="s">
        <v>181</v>
      </c>
      <c r="C22" s="21" t="n">
        <f aca="false">IF(C6&gt;0,Leasable_Area*C11,0)</f>
        <v>0</v>
      </c>
      <c r="D22" s="21" t="n">
        <f aca="false">IF(D6&gt;0,Leasable_Area*D11,0)</f>
        <v>57400</v>
      </c>
      <c r="E22" s="21" t="n">
        <f aca="false">IF(E6&gt;0,Leasable_Area*E11,0)</f>
        <v>58835</v>
      </c>
      <c r="F22" s="21" t="n">
        <f aca="false">IF(F6&gt;0,Leasable_Area*F11,0)</f>
        <v>60305.875</v>
      </c>
      <c r="G22" s="21" t="n">
        <f aca="false">IF(G6&gt;0,Leasable_Area*G11,0)</f>
        <v>61813.521875</v>
      </c>
      <c r="H22" s="21" t="n">
        <f aca="false">IF(H6&gt;0,Leasable_Area*H11,0)</f>
        <v>63358.859921875</v>
      </c>
      <c r="I22" s="21" t="n">
        <f aca="false">IF(I6&gt;0,Leasable_Area*I11,0)</f>
        <v>64942.8314199218</v>
      </c>
      <c r="J22" s="21" t="n">
        <f aca="false">IF(J6&gt;0,Leasable_Area*J11,0)</f>
        <v>66566.4022054199</v>
      </c>
      <c r="K22" s="21" t="n">
        <f aca="false">IF(K6&gt;0,Leasable_Area*K11,0)</f>
        <v>68230.5622605554</v>
      </c>
      <c r="L22" s="21" t="n">
        <f aca="false">IF(L6&gt;0,Leasable_Area*L11,0)</f>
        <v>69936.3263170693</v>
      </c>
      <c r="M22" s="21" t="n">
        <f aca="false">IF(M6&gt;0,Leasable_Area*M11,0)</f>
        <v>71684.734474996</v>
      </c>
      <c r="N22" s="21" t="n">
        <f aca="false">IF(N6&gt;0,Leasable_Area*N11,0)</f>
        <v>73476.8528368709</v>
      </c>
      <c r="O22" s="21" t="n">
        <f aca="false">IF(O6&gt;0,Leasable_Area*O11,0)</f>
        <v>75313.7741577926</v>
      </c>
      <c r="P22" s="21" t="n">
        <f aca="false">IF(P6&gt;0,Leasable_Area*P11,0)</f>
        <v>77196.6185117374</v>
      </c>
      <c r="Q22" s="21" t="n">
        <f aca="false">IF(Q6&gt;0,Leasable_Area*Q11,0)</f>
        <v>79126.5339745309</v>
      </c>
      <c r="R22" s="21" t="n">
        <f aca="false">IF(R6&gt;0,Leasable_Area*R11,0)</f>
        <v>81104.6973238941</v>
      </c>
      <c r="S22" s="21" t="n">
        <f aca="false">IF(S6&gt;0,Leasable_Area*S11,0)</f>
        <v>83132.3147569915</v>
      </c>
      <c r="T22" s="21" t="n">
        <f aca="false">IF(T6&gt;0,Leasable_Area*T11,0)</f>
        <v>85210.6226259163</v>
      </c>
      <c r="U22" s="21" t="n">
        <f aca="false">IF(U6&gt;0,Leasable_Area*U11,0)</f>
        <v>87340.8881915642</v>
      </c>
      <c r="V22" s="21" t="n">
        <f aca="false">IF(V6&gt;0,Leasable_Area*V11,0)</f>
        <v>89524.4103963533</v>
      </c>
      <c r="W22" s="21" t="n">
        <f aca="false">IF(W6&gt;0,Leasable_Area*W11,0)</f>
        <v>91762.5206562621</v>
      </c>
      <c r="X22" s="21" t="n">
        <f aca="false">IF(X6&gt;0,Leasable_Area*X11,0)</f>
        <v>94056.5836726686</v>
      </c>
      <c r="Y22" s="21" t="n">
        <f aca="false">IF(Y6&gt;0,Leasable_Area*Y11,0)</f>
        <v>96407.9982644853</v>
      </c>
      <c r="Z22" s="21" t="n">
        <f aca="false">IF(Z6&gt;0,Leasable_Area*Z11,0)</f>
        <v>98818.1982210975</v>
      </c>
      <c r="AA22" s="21" t="n">
        <f aca="false">IF(AA6&gt;0,Leasable_Area*AA11,0)</f>
        <v>101288.653176625</v>
      </c>
      <c r="AB22" s="21" t="n">
        <f aca="false">IF(AB6&gt;0,Leasable_Area*AB11,0)</f>
        <v>103820.869506041</v>
      </c>
    </row>
    <row r="23" customFormat="false" ht="15" hidden="false" customHeight="false" outlineLevel="0" collapsed="false">
      <c r="B23" s="25" t="s">
        <v>182</v>
      </c>
      <c r="C23" s="8"/>
      <c r="D23" s="8"/>
      <c r="E23" s="8"/>
      <c r="F23" s="8"/>
      <c r="G23" s="8"/>
      <c r="H23" s="8"/>
      <c r="I23" s="8"/>
      <c r="J23" s="8"/>
      <c r="K23" s="8"/>
      <c r="L23" s="8"/>
      <c r="M23" s="8"/>
      <c r="N23" s="8"/>
      <c r="O23" s="8"/>
      <c r="P23" s="8"/>
      <c r="Q23" s="8"/>
      <c r="R23" s="8"/>
      <c r="S23" s="8"/>
      <c r="T23" s="8"/>
      <c r="U23" s="8"/>
      <c r="V23" s="8"/>
      <c r="W23" s="8"/>
      <c r="X23" s="8"/>
      <c r="Y23" s="8"/>
      <c r="Z23" s="8"/>
      <c r="AA23" s="8"/>
      <c r="AB23" s="8"/>
    </row>
    <row r="24" customFormat="false" ht="15" hidden="false" customHeight="false" outlineLevel="0" collapsed="false">
      <c r="B24" s="26" t="s">
        <v>182</v>
      </c>
      <c r="C24" s="29" t="n">
        <f aca="false">C15+C19+C21+C22</f>
        <v>0</v>
      </c>
      <c r="D24" s="29" t="n">
        <f aca="false">D15+D19+D21+D22</f>
        <v>325150</v>
      </c>
      <c r="E24" s="29" t="n">
        <f aca="false">E15+E19+E21+E22</f>
        <v>339972.5</v>
      </c>
      <c r="F24" s="29" t="n">
        <f aca="false">F15+F19+F21+F22</f>
        <v>355500.25</v>
      </c>
      <c r="G24" s="29" t="n">
        <f aca="false">G15+G19+G21+G22</f>
        <v>371767.615625</v>
      </c>
      <c r="H24" s="29" t="n">
        <f aca="false">H15+H19+H21+H22</f>
        <v>1124335.48844118</v>
      </c>
      <c r="I24" s="29" t="n">
        <f aca="false">I15+I19+I21+I22</f>
        <v>1156902.54646273</v>
      </c>
      <c r="J24" s="29" t="n">
        <f aca="false">J15+J19+J21+J22</f>
        <v>1190617.04319987</v>
      </c>
      <c r="K24" s="29" t="n">
        <f aca="false">K15+K19+K21+K22</f>
        <v>1225526.53430821</v>
      </c>
      <c r="L24" s="29" t="n">
        <f aca="false">L15+L19+L21+L22</f>
        <v>1261680.75195067</v>
      </c>
      <c r="M24" s="29" t="n">
        <f aca="false">M15+M19+M21+M22</f>
        <v>1299131.7094735</v>
      </c>
      <c r="N24" s="29" t="n">
        <f aca="false">N15+N19+N21+N22</f>
        <v>1337933.81123019</v>
      </c>
      <c r="O24" s="29" t="n">
        <f aca="false">O15+O19+O21+O22</f>
        <v>1378143.96780857</v>
      </c>
      <c r="P24" s="29" t="n">
        <f aca="false">P15+P19+P21+P22</f>
        <v>1419821.7169296</v>
      </c>
      <c r="Q24" s="29" t="n">
        <f aca="false">Q15+Q19+Q21+Q22</f>
        <v>1463029.35029952</v>
      </c>
      <c r="R24" s="29" t="n">
        <f aca="false">R15+R19+R21+R22</f>
        <v>1507832.0467111</v>
      </c>
      <c r="S24" s="29" t="n">
        <f aca="false">S15+S19+S21+S22</f>
        <v>1554298.01170444</v>
      </c>
      <c r="T24" s="29" t="n">
        <f aca="false">T15+T19+T21+T22</f>
        <v>1602498.62411343</v>
      </c>
      <c r="U24" s="29" t="n">
        <f aca="false">U15+U19+U21+U22</f>
        <v>1652508.58984001</v>
      </c>
      <c r="V24" s="29" t="n">
        <f aca="false">V15+V19+V21+V22</f>
        <v>1704406.1032155</v>
      </c>
      <c r="W24" s="29" t="n">
        <f aca="false">W15+W19+W21+W22</f>
        <v>1758273.01632642</v>
      </c>
      <c r="X24" s="29" t="n">
        <f aca="false">X15+X19+X21+X22</f>
        <v>1814195.01670058</v>
      </c>
      <c r="Y24" s="29" t="n">
        <f aca="false">Y15+Y19+Y21+Y22</f>
        <v>1872261.81376953</v>
      </c>
      <c r="Z24" s="29" t="n">
        <f aca="false">Z15+Z19+Z21+Z22</f>
        <v>1932567.33454365</v>
      </c>
      <c r="AA24" s="29" t="n">
        <f aca="false">AA15+AA19+AA21+AA22</f>
        <v>1995209.9289584</v>
      </c>
      <c r="AB24" s="29" t="n">
        <f aca="false">AB15+AB19+AB21+AB22</f>
        <v>162839167.353543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28"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183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184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C5" s="23" t="n">
        <f aca="false">Model_Start_Year+0</f>
        <v>2025</v>
      </c>
      <c r="D5" s="23" t="n">
        <f aca="false">Model_Start_Year+1</f>
        <v>2026</v>
      </c>
      <c r="E5" s="23" t="n">
        <f aca="false">Model_Start_Year+2</f>
        <v>2027</v>
      </c>
      <c r="F5" s="23" t="n">
        <f aca="false">Model_Start_Year+3</f>
        <v>2028</v>
      </c>
      <c r="G5" s="23" t="n">
        <f aca="false">Model_Start_Year+4</f>
        <v>2029</v>
      </c>
      <c r="H5" s="23" t="n">
        <f aca="false">Model_Start_Year+5</f>
        <v>2030</v>
      </c>
      <c r="I5" s="23" t="n">
        <f aca="false">Model_Start_Year+6</f>
        <v>2031</v>
      </c>
      <c r="J5" s="23" t="n">
        <f aca="false">Model_Start_Year+7</f>
        <v>2032</v>
      </c>
      <c r="K5" s="23" t="n">
        <f aca="false">Model_Start_Year+8</f>
        <v>2033</v>
      </c>
      <c r="L5" s="23" t="n">
        <f aca="false">Model_Start_Year+9</f>
        <v>2034</v>
      </c>
      <c r="M5" s="23" t="n">
        <f aca="false">Model_Start_Year+10</f>
        <v>2035</v>
      </c>
      <c r="N5" s="23" t="n">
        <f aca="false">Model_Start_Year+11</f>
        <v>2036</v>
      </c>
      <c r="O5" s="23" t="n">
        <f aca="false">Model_Start_Year+12</f>
        <v>2037</v>
      </c>
      <c r="P5" s="23" t="n">
        <f aca="false">Model_Start_Year+13</f>
        <v>2038</v>
      </c>
      <c r="Q5" s="23" t="n">
        <f aca="false">Model_Start_Year+14</f>
        <v>2039</v>
      </c>
      <c r="R5" s="23" t="n">
        <f aca="false">Model_Start_Year+15</f>
        <v>2040</v>
      </c>
      <c r="S5" s="23" t="n">
        <f aca="false">Model_Start_Year+16</f>
        <v>2041</v>
      </c>
      <c r="T5" s="23" t="n">
        <f aca="false">Model_Start_Year+17</f>
        <v>2042</v>
      </c>
      <c r="U5" s="23" t="n">
        <f aca="false">Model_Start_Year+18</f>
        <v>2043</v>
      </c>
      <c r="V5" s="23" t="n">
        <f aca="false">Model_Start_Year+19</f>
        <v>2044</v>
      </c>
      <c r="W5" s="23" t="n">
        <f aca="false">Model_Start_Year+20</f>
        <v>2045</v>
      </c>
      <c r="X5" s="23" t="n">
        <f aca="false">Model_Start_Year+21</f>
        <v>2046</v>
      </c>
      <c r="Y5" s="23" t="n">
        <f aca="false">Model_Start_Year+22</f>
        <v>2047</v>
      </c>
      <c r="Z5" s="23" t="n">
        <f aca="false">Model_Start_Year+23</f>
        <v>2048</v>
      </c>
      <c r="AA5" s="23" t="n">
        <f aca="false">Model_Start_Year+24</f>
        <v>2049</v>
      </c>
      <c r="AB5" s="23" t="n">
        <f aca="false">Model_Start_Year+25</f>
        <v>2050</v>
      </c>
    </row>
    <row r="6" customFormat="false" ht="15" hidden="false" customHeight="false" outlineLevel="0" collapsed="false">
      <c r="C6" s="24" t="n">
        <v>0</v>
      </c>
      <c r="D6" s="24" t="n">
        <v>1</v>
      </c>
      <c r="E6" s="24" t="n">
        <v>2</v>
      </c>
      <c r="F6" s="24" t="n">
        <v>3</v>
      </c>
      <c r="G6" s="24" t="n">
        <v>4</v>
      </c>
      <c r="H6" s="24" t="n">
        <v>5</v>
      </c>
      <c r="I6" s="24" t="n">
        <v>6</v>
      </c>
      <c r="J6" s="24" t="n">
        <v>7</v>
      </c>
      <c r="K6" s="24" t="n">
        <v>8</v>
      </c>
      <c r="L6" s="24" t="n">
        <v>9</v>
      </c>
      <c r="M6" s="24" t="n">
        <v>10</v>
      </c>
      <c r="N6" s="24" t="n">
        <v>11</v>
      </c>
      <c r="O6" s="24" t="n">
        <v>12</v>
      </c>
      <c r="P6" s="24" t="n">
        <v>13</v>
      </c>
      <c r="Q6" s="24" t="n">
        <v>14</v>
      </c>
      <c r="R6" s="24" t="n">
        <v>15</v>
      </c>
      <c r="S6" s="24" t="n">
        <v>16</v>
      </c>
      <c r="T6" s="24" t="n">
        <v>17</v>
      </c>
      <c r="U6" s="24" t="n">
        <v>18</v>
      </c>
      <c r="V6" s="24" t="n">
        <v>19</v>
      </c>
      <c r="W6" s="24" t="n">
        <v>20</v>
      </c>
      <c r="X6" s="24" t="n">
        <v>21</v>
      </c>
      <c r="Y6" s="24" t="n">
        <v>22</v>
      </c>
      <c r="Z6" s="24" t="n">
        <v>23</v>
      </c>
      <c r="AA6" s="24" t="n">
        <v>24</v>
      </c>
      <c r="AB6" s="24" t="n">
        <v>25</v>
      </c>
    </row>
    <row r="7" customFormat="false" ht="15" hidden="false" customHeight="false" outlineLevel="0" collapsed="false">
      <c r="B7" s="25" t="s">
        <v>185</v>
      </c>
      <c r="C7" s="8"/>
      <c r="D7" s="8"/>
      <c r="E7" s="8"/>
      <c r="F7" s="8"/>
      <c r="G7" s="8"/>
      <c r="H7" s="8"/>
      <c r="I7" s="8"/>
      <c r="J7" s="8"/>
      <c r="K7" s="8"/>
      <c r="L7" s="8"/>
      <c r="M7" s="8"/>
      <c r="N7" s="8"/>
      <c r="O7" s="8"/>
      <c r="P7" s="8"/>
      <c r="Q7" s="8"/>
      <c r="R7" s="8"/>
      <c r="S7" s="8"/>
      <c r="T7" s="8"/>
      <c r="U7" s="8"/>
      <c r="V7" s="8"/>
      <c r="W7" s="8"/>
      <c r="X7" s="8"/>
      <c r="Y7" s="8"/>
      <c r="Z7" s="8"/>
      <c r="AA7" s="8"/>
      <c r="AB7" s="8"/>
    </row>
    <row r="8" customFormat="false" ht="15" hidden="false" customHeight="false" outlineLevel="0" collapsed="false">
      <c r="B8" s="26" t="s">
        <v>186</v>
      </c>
      <c r="C8" s="21" t="n">
        <f aca="false">IF(C6&gt;0,Plantable_Area*Silv_Cost_Per_Ha*Replant_Rate*(1+Inflation_Rate)^C6,0)</f>
        <v>0</v>
      </c>
      <c r="D8" s="21" t="n">
        <f aca="false">IF(D6&gt;0,Plantable_Area*Silv_Cost_Per_Ha*Replant_Rate*(1+Inflation_Rate)^D6,0)</f>
        <v>1045500</v>
      </c>
      <c r="E8" s="21" t="n">
        <f aca="false">IF(E6&gt;0,Plantable_Area*Silv_Cost_Per_Ha*Replant_Rate*(1+Inflation_Rate)^E6,0)</f>
        <v>1071637.5</v>
      </c>
      <c r="F8" s="21" t="n">
        <f aca="false">IF(F6&gt;0,Plantable_Area*Silv_Cost_Per_Ha*Replant_Rate*(1+Inflation_Rate)^F6,0)</f>
        <v>1098428.4375</v>
      </c>
      <c r="G8" s="21" t="n">
        <f aca="false">IF(G6&gt;0,Plantable_Area*Silv_Cost_Per_Ha*Replant_Rate*(1+Inflation_Rate)^G6,0)</f>
        <v>1125889.1484375</v>
      </c>
      <c r="H8" s="21" t="n">
        <f aca="false">IF(H6&gt;0,Plantable_Area*Silv_Cost_Per_Ha*Replant_Rate*(1+Inflation_Rate)^H6,0)</f>
        <v>1154036.37714844</v>
      </c>
      <c r="I8" s="21" t="n">
        <f aca="false">IF(I6&gt;0,Plantable_Area*Silv_Cost_Per_Ha*Replant_Rate*(1+Inflation_Rate)^I6,0)</f>
        <v>1182887.28657715</v>
      </c>
      <c r="J8" s="21" t="n">
        <f aca="false">IF(J6&gt;0,Plantable_Area*Silv_Cost_Per_Ha*Replant_Rate*(1+Inflation_Rate)^J6,0)</f>
        <v>1212459.46874158</v>
      </c>
      <c r="K8" s="21" t="n">
        <f aca="false">IF(K6&gt;0,Plantable_Area*Silv_Cost_Per_Ha*Replant_Rate*(1+Inflation_Rate)^K6,0)</f>
        <v>1242770.95546012</v>
      </c>
      <c r="L8" s="21" t="n">
        <f aca="false">IF(L6&gt;0,Plantable_Area*Silv_Cost_Per_Ha*Replant_Rate*(1+Inflation_Rate)^L6,0)</f>
        <v>1273840.22934662</v>
      </c>
      <c r="M8" s="21" t="n">
        <f aca="false">IF(M6&gt;0,Plantable_Area*Silv_Cost_Per_Ha*Replant_Rate*(1+Inflation_Rate)^M6,0)</f>
        <v>1305686.23508028</v>
      </c>
      <c r="N8" s="21" t="n">
        <f aca="false">IF(N6&gt;0,Plantable_Area*Silv_Cost_Per_Ha*Replant_Rate*(1+Inflation_Rate)^N6,0)</f>
        <v>1338328.39095729</v>
      </c>
      <c r="O8" s="21" t="n">
        <f aca="false">IF(O6&gt;0,Plantable_Area*Silv_Cost_Per_Ha*Replant_Rate*(1+Inflation_Rate)^O6,0)</f>
        <v>1371786.60073122</v>
      </c>
      <c r="P8" s="21" t="n">
        <f aca="false">IF(P6&gt;0,Plantable_Area*Silv_Cost_Per_Ha*Replant_Rate*(1+Inflation_Rate)^P6,0)</f>
        <v>1406081.2657495</v>
      </c>
      <c r="Q8" s="21" t="n">
        <f aca="false">IF(Q6&gt;0,Plantable_Area*Silv_Cost_Per_Ha*Replant_Rate*(1+Inflation_Rate)^Q6,0)</f>
        <v>1441233.29739324</v>
      </c>
      <c r="R8" s="21" t="n">
        <f aca="false">IF(R6&gt;0,Plantable_Area*Silv_Cost_Per_Ha*Replant_Rate*(1+Inflation_Rate)^R6,0)</f>
        <v>1477264.12982807</v>
      </c>
      <c r="S8" s="21" t="n">
        <f aca="false">IF(S6&gt;0,Plantable_Area*Silv_Cost_Per_Ha*Replant_Rate*(1+Inflation_Rate)^S6,0)</f>
        <v>1514195.73307377</v>
      </c>
      <c r="T8" s="21" t="n">
        <f aca="false">IF(T6&gt;0,Plantable_Area*Silv_Cost_Per_Ha*Replant_Rate*(1+Inflation_Rate)^T6,0)</f>
        <v>1552050.62640062</v>
      </c>
      <c r="U8" s="21" t="n">
        <f aca="false">IF(U6&gt;0,Plantable_Area*Silv_Cost_Per_Ha*Replant_Rate*(1+Inflation_Rate)^U6,0)</f>
        <v>1590851.89206063</v>
      </c>
      <c r="V8" s="21" t="n">
        <f aca="false">IF(V6&gt;0,Plantable_Area*Silv_Cost_Per_Ha*Replant_Rate*(1+Inflation_Rate)^V6,0)</f>
        <v>1630623.18936215</v>
      </c>
      <c r="W8" s="21" t="n">
        <f aca="false">IF(W6&gt;0,Plantable_Area*Silv_Cost_Per_Ha*Replant_Rate*(1+Inflation_Rate)^W6,0)</f>
        <v>1671388.7690962</v>
      </c>
      <c r="X8" s="21" t="n">
        <f aca="false">IF(X6&gt;0,Plantable_Area*Silv_Cost_Per_Ha*Replant_Rate*(1+Inflation_Rate)^X6,0)</f>
        <v>1713173.48832361</v>
      </c>
      <c r="Y8" s="21" t="n">
        <f aca="false">IF(Y6&gt;0,Plantable_Area*Silv_Cost_Per_Ha*Replant_Rate*(1+Inflation_Rate)^Y6,0)</f>
        <v>1756002.8255317</v>
      </c>
      <c r="Z8" s="21" t="n">
        <f aca="false">IF(Z6&gt;0,Plantable_Area*Silv_Cost_Per_Ha*Replant_Rate*(1+Inflation_Rate)^Z6,0)</f>
        <v>1799902.89616999</v>
      </c>
      <c r="AA8" s="21" t="n">
        <f aca="false">IF(AA6&gt;0,Plantable_Area*Silv_Cost_Per_Ha*Replant_Rate*(1+Inflation_Rate)^AA6,0)</f>
        <v>1844900.46857424</v>
      </c>
      <c r="AB8" s="21" t="n">
        <f aca="false">IF(AB6&gt;0,Plantable_Area*Silv_Cost_Per_Ha*Replant_Rate*(1+Inflation_Rate)^AB6,0)</f>
        <v>1891022.98028859</v>
      </c>
    </row>
    <row r="9" customFormat="false" ht="15" hidden="false" customHeight="false" outlineLevel="0" collapsed="false">
      <c r="B9" s="26" t="s">
        <v>187</v>
      </c>
      <c r="C9" s="21" t="n">
        <f aca="false">IF(C6&gt;0,Total_Area*Mgmt_Fee_Per_Ha*(1+Inflation_Rate)^C6,0)</f>
        <v>0</v>
      </c>
      <c r="D9" s="21" t="n">
        <f aca="false">IF(D6&gt;0,Total_Area*Mgmt_Fee_Per_Ha*(1+Inflation_Rate)^D6,0)</f>
        <v>153750</v>
      </c>
      <c r="E9" s="21" t="n">
        <f aca="false">IF(E6&gt;0,Total_Area*Mgmt_Fee_Per_Ha*(1+Inflation_Rate)^E6,0)</f>
        <v>157593.75</v>
      </c>
      <c r="F9" s="21" t="n">
        <f aca="false">IF(F6&gt;0,Total_Area*Mgmt_Fee_Per_Ha*(1+Inflation_Rate)^F6,0)</f>
        <v>161533.59375</v>
      </c>
      <c r="G9" s="21" t="n">
        <f aca="false">IF(G6&gt;0,Total_Area*Mgmt_Fee_Per_Ha*(1+Inflation_Rate)^G6,0)</f>
        <v>165571.93359375</v>
      </c>
      <c r="H9" s="21" t="n">
        <f aca="false">IF(H6&gt;0,Total_Area*Mgmt_Fee_Per_Ha*(1+Inflation_Rate)^H6,0)</f>
        <v>169711.231933594</v>
      </c>
      <c r="I9" s="21" t="n">
        <f aca="false">IF(I6&gt;0,Total_Area*Mgmt_Fee_Per_Ha*(1+Inflation_Rate)^I6,0)</f>
        <v>173954.012731934</v>
      </c>
      <c r="J9" s="21" t="n">
        <f aca="false">IF(J6&gt;0,Total_Area*Mgmt_Fee_Per_Ha*(1+Inflation_Rate)^J6,0)</f>
        <v>178302.863050232</v>
      </c>
      <c r="K9" s="21" t="n">
        <f aca="false">IF(K6&gt;0,Total_Area*Mgmt_Fee_Per_Ha*(1+Inflation_Rate)^K6,0)</f>
        <v>182760.434626488</v>
      </c>
      <c r="L9" s="21" t="n">
        <f aca="false">IF(L6&gt;0,Total_Area*Mgmt_Fee_Per_Ha*(1+Inflation_Rate)^L6,0)</f>
        <v>187329.44549215</v>
      </c>
      <c r="M9" s="21" t="n">
        <f aca="false">IF(M6&gt;0,Total_Area*Mgmt_Fee_Per_Ha*(1+Inflation_Rate)^M6,0)</f>
        <v>192012.681629454</v>
      </c>
      <c r="N9" s="21" t="n">
        <f aca="false">IF(N6&gt;0,Total_Area*Mgmt_Fee_Per_Ha*(1+Inflation_Rate)^N6,0)</f>
        <v>196812.99867019</v>
      </c>
      <c r="O9" s="21" t="n">
        <f aca="false">IF(O6&gt;0,Total_Area*Mgmt_Fee_Per_Ha*(1+Inflation_Rate)^O6,0)</f>
        <v>201733.323636945</v>
      </c>
      <c r="P9" s="21" t="n">
        <f aca="false">IF(P6&gt;0,Total_Area*Mgmt_Fee_Per_Ha*(1+Inflation_Rate)^P6,0)</f>
        <v>206776.656727868</v>
      </c>
      <c r="Q9" s="21" t="n">
        <f aca="false">IF(Q6&gt;0,Total_Area*Mgmt_Fee_Per_Ha*(1+Inflation_Rate)^Q6,0)</f>
        <v>211946.073146065</v>
      </c>
      <c r="R9" s="21" t="n">
        <f aca="false">IF(R6&gt;0,Total_Area*Mgmt_Fee_Per_Ha*(1+Inflation_Rate)^R6,0)</f>
        <v>217244.724974716</v>
      </c>
      <c r="S9" s="21" t="n">
        <f aca="false">IF(S6&gt;0,Total_Area*Mgmt_Fee_Per_Ha*(1+Inflation_Rate)^S6,0)</f>
        <v>222675.843099084</v>
      </c>
      <c r="T9" s="21" t="n">
        <f aca="false">IF(T6&gt;0,Total_Area*Mgmt_Fee_Per_Ha*(1+Inflation_Rate)^T6,0)</f>
        <v>228242.739176561</v>
      </c>
      <c r="U9" s="21" t="n">
        <f aca="false">IF(U6&gt;0,Total_Area*Mgmt_Fee_Per_Ha*(1+Inflation_Rate)^U6,0)</f>
        <v>233948.807655975</v>
      </c>
      <c r="V9" s="21" t="n">
        <f aca="false">IF(V6&gt;0,Total_Area*Mgmt_Fee_Per_Ha*(1+Inflation_Rate)^V6,0)</f>
        <v>239797.527847375</v>
      </c>
      <c r="W9" s="21" t="n">
        <f aca="false">IF(W6&gt;0,Total_Area*Mgmt_Fee_Per_Ha*(1+Inflation_Rate)^W6,0)</f>
        <v>245792.466043559</v>
      </c>
      <c r="X9" s="21" t="n">
        <f aca="false">IF(X6&gt;0,Total_Area*Mgmt_Fee_Per_Ha*(1+Inflation_Rate)^X6,0)</f>
        <v>251937.277694648</v>
      </c>
      <c r="Y9" s="21" t="n">
        <f aca="false">IF(Y6&gt;0,Total_Area*Mgmt_Fee_Per_Ha*(1+Inflation_Rate)^Y6,0)</f>
        <v>258235.709637014</v>
      </c>
      <c r="Z9" s="21" t="n">
        <f aca="false">IF(Z6&gt;0,Total_Area*Mgmt_Fee_Per_Ha*(1+Inflation_Rate)^Z6,0)</f>
        <v>264691.60237794</v>
      </c>
      <c r="AA9" s="21" t="n">
        <f aca="false">IF(AA6&gt;0,Total_Area*Mgmt_Fee_Per_Ha*(1+Inflation_Rate)^AA6,0)</f>
        <v>271308.892437388</v>
      </c>
      <c r="AB9" s="21" t="n">
        <f aca="false">IF(AB6&gt;0,Total_Area*Mgmt_Fee_Per_Ha*(1+Inflation_Rate)^AB6,0)</f>
        <v>278091.614748323</v>
      </c>
    </row>
    <row r="10" customFormat="false" ht="15" hidden="false" customHeight="false" outlineLevel="0" collapsed="false">
      <c r="B10" s="26" t="s">
        <v>188</v>
      </c>
      <c r="C10" s="21" t="n">
        <f aca="false">IF(C6&gt;0,Total_Area*Prop_Tax_Per_Ha*(1+Inflation_Rate)^C6,0)</f>
        <v>0</v>
      </c>
      <c r="D10" s="21" t="n">
        <f aca="false">IF(D6&gt;0,Total_Area*Prop_Tax_Per_Ha*(1+Inflation_Rate)^D6,0)</f>
        <v>102500</v>
      </c>
      <c r="E10" s="21" t="n">
        <f aca="false">IF(E6&gt;0,Total_Area*Prop_Tax_Per_Ha*(1+Inflation_Rate)^E6,0)</f>
        <v>105062.5</v>
      </c>
      <c r="F10" s="21" t="n">
        <f aca="false">IF(F6&gt;0,Total_Area*Prop_Tax_Per_Ha*(1+Inflation_Rate)^F6,0)</f>
        <v>107689.0625</v>
      </c>
      <c r="G10" s="21" t="n">
        <f aca="false">IF(G6&gt;0,Total_Area*Prop_Tax_Per_Ha*(1+Inflation_Rate)^G6,0)</f>
        <v>110381.2890625</v>
      </c>
      <c r="H10" s="21" t="n">
        <f aca="false">IF(H6&gt;0,Total_Area*Prop_Tax_Per_Ha*(1+Inflation_Rate)^H6,0)</f>
        <v>113140.821289062</v>
      </c>
      <c r="I10" s="21" t="n">
        <f aca="false">IF(I6&gt;0,Total_Area*Prop_Tax_Per_Ha*(1+Inflation_Rate)^I6,0)</f>
        <v>115969.341821289</v>
      </c>
      <c r="J10" s="21" t="n">
        <f aca="false">IF(J6&gt;0,Total_Area*Prop_Tax_Per_Ha*(1+Inflation_Rate)^J6,0)</f>
        <v>118868.575366821</v>
      </c>
      <c r="K10" s="21" t="n">
        <f aca="false">IF(K6&gt;0,Total_Area*Prop_Tax_Per_Ha*(1+Inflation_Rate)^K6,0)</f>
        <v>121840.289750992</v>
      </c>
      <c r="L10" s="21" t="n">
        <f aca="false">IF(L6&gt;0,Total_Area*Prop_Tax_Per_Ha*(1+Inflation_Rate)^L6,0)</f>
        <v>124886.296994767</v>
      </c>
      <c r="M10" s="21" t="n">
        <f aca="false">IF(M6&gt;0,Total_Area*Prop_Tax_Per_Ha*(1+Inflation_Rate)^M6,0)</f>
        <v>128008.454419636</v>
      </c>
      <c r="N10" s="21" t="n">
        <f aca="false">IF(N6&gt;0,Total_Area*Prop_Tax_Per_Ha*(1+Inflation_Rate)^N6,0)</f>
        <v>131208.665780127</v>
      </c>
      <c r="O10" s="21" t="n">
        <f aca="false">IF(O6&gt;0,Total_Area*Prop_Tax_Per_Ha*(1+Inflation_Rate)^O6,0)</f>
        <v>134488.88242463</v>
      </c>
      <c r="P10" s="21" t="n">
        <f aca="false">IF(P6&gt;0,Total_Area*Prop_Tax_Per_Ha*(1+Inflation_Rate)^P6,0)</f>
        <v>137851.104485245</v>
      </c>
      <c r="Q10" s="21" t="n">
        <f aca="false">IF(Q6&gt;0,Total_Area*Prop_Tax_Per_Ha*(1+Inflation_Rate)^Q6,0)</f>
        <v>141297.382097377</v>
      </c>
      <c r="R10" s="21" t="n">
        <f aca="false">IF(R6&gt;0,Total_Area*Prop_Tax_Per_Ha*(1+Inflation_Rate)^R6,0)</f>
        <v>144829.816649811</v>
      </c>
      <c r="S10" s="21" t="n">
        <f aca="false">IF(S6&gt;0,Total_Area*Prop_Tax_Per_Ha*(1+Inflation_Rate)^S6,0)</f>
        <v>148450.562066056</v>
      </c>
      <c r="T10" s="21" t="n">
        <f aca="false">IF(T6&gt;0,Total_Area*Prop_Tax_Per_Ha*(1+Inflation_Rate)^T6,0)</f>
        <v>152161.826117708</v>
      </c>
      <c r="U10" s="21" t="n">
        <f aca="false">IF(U6&gt;0,Total_Area*Prop_Tax_Per_Ha*(1+Inflation_Rate)^U6,0)</f>
        <v>155965.87177065</v>
      </c>
      <c r="V10" s="21" t="n">
        <f aca="false">IF(V6&gt;0,Total_Area*Prop_Tax_Per_Ha*(1+Inflation_Rate)^V6,0)</f>
        <v>159865.018564917</v>
      </c>
      <c r="W10" s="21" t="n">
        <f aca="false">IF(W6&gt;0,Total_Area*Prop_Tax_Per_Ha*(1+Inflation_Rate)^W6,0)</f>
        <v>163861.644029039</v>
      </c>
      <c r="X10" s="21" t="n">
        <f aca="false">IF(X6&gt;0,Total_Area*Prop_Tax_Per_Ha*(1+Inflation_Rate)^X6,0)</f>
        <v>167958.185129765</v>
      </c>
      <c r="Y10" s="21" t="n">
        <f aca="false">IF(Y6&gt;0,Total_Area*Prop_Tax_Per_Ha*(1+Inflation_Rate)^Y6,0)</f>
        <v>172157.13975801</v>
      </c>
      <c r="Z10" s="21" t="n">
        <f aca="false">IF(Z6&gt;0,Total_Area*Prop_Tax_Per_Ha*(1+Inflation_Rate)^Z6,0)</f>
        <v>176461.06825196</v>
      </c>
      <c r="AA10" s="21" t="n">
        <f aca="false">IF(AA6&gt;0,Total_Area*Prop_Tax_Per_Ha*(1+Inflation_Rate)^AA6,0)</f>
        <v>180872.594958259</v>
      </c>
      <c r="AB10" s="21" t="n">
        <f aca="false">IF(AB6&gt;0,Total_Area*Prop_Tax_Per_Ha*(1+Inflation_Rate)^AB6,0)</f>
        <v>185394.409832215</v>
      </c>
    </row>
    <row r="11" customFormat="false" ht="15" hidden="false" customHeight="false" outlineLevel="0" collapsed="false">
      <c r="B11" s="26" t="s">
        <v>189</v>
      </c>
      <c r="C11" s="21" t="n">
        <f aca="false">IF(C6&gt;0,Total_Area*Insurance_Per_Ha*(1+Inflation_Rate)^C6,0)</f>
        <v>0</v>
      </c>
      <c r="D11" s="21" t="n">
        <f aca="false">IF(D6&gt;0,Total_Area*Insurance_Per_Ha*(1+Inflation_Rate)^D6,0)</f>
        <v>82000</v>
      </c>
      <c r="E11" s="21" t="n">
        <f aca="false">IF(E6&gt;0,Total_Area*Insurance_Per_Ha*(1+Inflation_Rate)^E6,0)</f>
        <v>84050</v>
      </c>
      <c r="F11" s="21" t="n">
        <f aca="false">IF(F6&gt;0,Total_Area*Insurance_Per_Ha*(1+Inflation_Rate)^F6,0)</f>
        <v>86151.25</v>
      </c>
      <c r="G11" s="21" t="n">
        <f aca="false">IF(G6&gt;0,Total_Area*Insurance_Per_Ha*(1+Inflation_Rate)^G6,0)</f>
        <v>88305.03125</v>
      </c>
      <c r="H11" s="21" t="n">
        <f aca="false">IF(H6&gt;0,Total_Area*Insurance_Per_Ha*(1+Inflation_Rate)^H6,0)</f>
        <v>90512.65703125</v>
      </c>
      <c r="I11" s="21" t="n">
        <f aca="false">IF(I6&gt;0,Total_Area*Insurance_Per_Ha*(1+Inflation_Rate)^I6,0)</f>
        <v>92775.4734570312</v>
      </c>
      <c r="J11" s="21" t="n">
        <f aca="false">IF(J6&gt;0,Total_Area*Insurance_Per_Ha*(1+Inflation_Rate)^J6,0)</f>
        <v>95094.860293457</v>
      </c>
      <c r="K11" s="21" t="n">
        <f aca="false">IF(K6&gt;0,Total_Area*Insurance_Per_Ha*(1+Inflation_Rate)^K6,0)</f>
        <v>97472.2318007934</v>
      </c>
      <c r="L11" s="21" t="n">
        <f aca="false">IF(L6&gt;0,Total_Area*Insurance_Per_Ha*(1+Inflation_Rate)^L6,0)</f>
        <v>99909.0375958132</v>
      </c>
      <c r="M11" s="21" t="n">
        <f aca="false">IF(M6&gt;0,Total_Area*Insurance_Per_Ha*(1+Inflation_Rate)^M6,0)</f>
        <v>102406.763535709</v>
      </c>
      <c r="N11" s="21" t="n">
        <f aca="false">IF(N6&gt;0,Total_Area*Insurance_Per_Ha*(1+Inflation_Rate)^N6,0)</f>
        <v>104966.932624101</v>
      </c>
      <c r="O11" s="21" t="n">
        <f aca="false">IF(O6&gt;0,Total_Area*Insurance_Per_Ha*(1+Inflation_Rate)^O6,0)</f>
        <v>107591.105939704</v>
      </c>
      <c r="P11" s="21" t="n">
        <f aca="false">IF(P6&gt;0,Total_Area*Insurance_Per_Ha*(1+Inflation_Rate)^P6,0)</f>
        <v>110280.883588196</v>
      </c>
      <c r="Q11" s="21" t="n">
        <f aca="false">IF(Q6&gt;0,Total_Area*Insurance_Per_Ha*(1+Inflation_Rate)^Q6,0)</f>
        <v>113037.905677901</v>
      </c>
      <c r="R11" s="21" t="n">
        <f aca="false">IF(R6&gt;0,Total_Area*Insurance_Per_Ha*(1+Inflation_Rate)^R6,0)</f>
        <v>115863.853319849</v>
      </c>
      <c r="S11" s="21" t="n">
        <f aca="false">IF(S6&gt;0,Total_Area*Insurance_Per_Ha*(1+Inflation_Rate)^S6,0)</f>
        <v>118760.449652845</v>
      </c>
      <c r="T11" s="21" t="n">
        <f aca="false">IF(T6&gt;0,Total_Area*Insurance_Per_Ha*(1+Inflation_Rate)^T6,0)</f>
        <v>121729.460894166</v>
      </c>
      <c r="U11" s="21" t="n">
        <f aca="false">IF(U6&gt;0,Total_Area*Insurance_Per_Ha*(1+Inflation_Rate)^U6,0)</f>
        <v>124772.69741652</v>
      </c>
      <c r="V11" s="21" t="n">
        <f aca="false">IF(V6&gt;0,Total_Area*Insurance_Per_Ha*(1+Inflation_Rate)^V6,0)</f>
        <v>127892.014851933</v>
      </c>
      <c r="W11" s="21" t="n">
        <f aca="false">IF(W6&gt;0,Total_Area*Insurance_Per_Ha*(1+Inflation_Rate)^W6,0)</f>
        <v>131089.315223232</v>
      </c>
      <c r="X11" s="21" t="n">
        <f aca="false">IF(X6&gt;0,Total_Area*Insurance_Per_Ha*(1+Inflation_Rate)^X6,0)</f>
        <v>134366.548103812</v>
      </c>
      <c r="Y11" s="21" t="n">
        <f aca="false">IF(Y6&gt;0,Total_Area*Insurance_Per_Ha*(1+Inflation_Rate)^Y6,0)</f>
        <v>137725.711806408</v>
      </c>
      <c r="Z11" s="21" t="n">
        <f aca="false">IF(Z6&gt;0,Total_Area*Insurance_Per_Ha*(1+Inflation_Rate)^Z6,0)</f>
        <v>141168.854601568</v>
      </c>
      <c r="AA11" s="21" t="n">
        <f aca="false">IF(AA6&gt;0,Total_Area*Insurance_Per_Ha*(1+Inflation_Rate)^AA6,0)</f>
        <v>144698.075966607</v>
      </c>
      <c r="AB11" s="21" t="n">
        <f aca="false">IF(AB6&gt;0,Total_Area*Insurance_Per_Ha*(1+Inflation_Rate)^AB6,0)</f>
        <v>148315.527865772</v>
      </c>
    </row>
    <row r="12" customFormat="false" ht="15" hidden="false" customHeight="false" outlineLevel="0" collapsed="false">
      <c r="B12" s="26" t="s">
        <v>190</v>
      </c>
      <c r="C12" s="21" t="n">
        <f aca="false">IF(C6&gt;0,Total_Area*Road_Cost_Per_Ha*(1+Inflation_Rate)^C6,0)</f>
        <v>0</v>
      </c>
      <c r="D12" s="21" t="n">
        <f aca="false">IF(D6&gt;0,Total_Area*Road_Cost_Per_Ha*(1+Inflation_Rate)^D6,0)</f>
        <v>51250</v>
      </c>
      <c r="E12" s="21" t="n">
        <f aca="false">IF(E6&gt;0,Total_Area*Road_Cost_Per_Ha*(1+Inflation_Rate)^E6,0)</f>
        <v>52531.25</v>
      </c>
      <c r="F12" s="21" t="n">
        <f aca="false">IF(F6&gt;0,Total_Area*Road_Cost_Per_Ha*(1+Inflation_Rate)^F6,0)</f>
        <v>53844.53125</v>
      </c>
      <c r="G12" s="21" t="n">
        <f aca="false">IF(G6&gt;0,Total_Area*Road_Cost_Per_Ha*(1+Inflation_Rate)^G6,0)</f>
        <v>55190.64453125</v>
      </c>
      <c r="H12" s="21" t="n">
        <f aca="false">IF(H6&gt;0,Total_Area*Road_Cost_Per_Ha*(1+Inflation_Rate)^H6,0)</f>
        <v>56570.4106445312</v>
      </c>
      <c r="I12" s="21" t="n">
        <f aca="false">IF(I6&gt;0,Total_Area*Road_Cost_Per_Ha*(1+Inflation_Rate)^I6,0)</f>
        <v>57984.6709106445</v>
      </c>
      <c r="J12" s="21" t="n">
        <f aca="false">IF(J6&gt;0,Total_Area*Road_Cost_Per_Ha*(1+Inflation_Rate)^J6,0)</f>
        <v>59434.2876834106</v>
      </c>
      <c r="K12" s="21" t="n">
        <f aca="false">IF(K6&gt;0,Total_Area*Road_Cost_Per_Ha*(1+Inflation_Rate)^K6,0)</f>
        <v>60920.1448754959</v>
      </c>
      <c r="L12" s="21" t="n">
        <f aca="false">IF(L6&gt;0,Total_Area*Road_Cost_Per_Ha*(1+Inflation_Rate)^L6,0)</f>
        <v>62443.1484973833</v>
      </c>
      <c r="M12" s="21" t="n">
        <f aca="false">IF(M6&gt;0,Total_Area*Road_Cost_Per_Ha*(1+Inflation_Rate)^M6,0)</f>
        <v>64004.2272098178</v>
      </c>
      <c r="N12" s="21" t="n">
        <f aca="false">IF(N6&gt;0,Total_Area*Road_Cost_Per_Ha*(1+Inflation_Rate)^N6,0)</f>
        <v>65604.3328900633</v>
      </c>
      <c r="O12" s="21" t="n">
        <f aca="false">IF(O6&gt;0,Total_Area*Road_Cost_Per_Ha*(1+Inflation_Rate)^O6,0)</f>
        <v>67244.4412123149</v>
      </c>
      <c r="P12" s="21" t="n">
        <f aca="false">IF(P6&gt;0,Total_Area*Road_Cost_Per_Ha*(1+Inflation_Rate)^P6,0)</f>
        <v>68925.5522426227</v>
      </c>
      <c r="Q12" s="21" t="n">
        <f aca="false">IF(Q6&gt;0,Total_Area*Road_Cost_Per_Ha*(1+Inflation_Rate)^Q6,0)</f>
        <v>70648.6910486883</v>
      </c>
      <c r="R12" s="21" t="n">
        <f aca="false">IF(R6&gt;0,Total_Area*Road_Cost_Per_Ha*(1+Inflation_Rate)^R6,0)</f>
        <v>72414.9083249055</v>
      </c>
      <c r="S12" s="21" t="n">
        <f aca="false">IF(S6&gt;0,Total_Area*Road_Cost_Per_Ha*(1+Inflation_Rate)^S6,0)</f>
        <v>74225.2810330281</v>
      </c>
      <c r="T12" s="21" t="n">
        <f aca="false">IF(T6&gt;0,Total_Area*Road_Cost_Per_Ha*(1+Inflation_Rate)^T6,0)</f>
        <v>76080.9130588538</v>
      </c>
      <c r="U12" s="21" t="n">
        <f aca="false">IF(U6&gt;0,Total_Area*Road_Cost_Per_Ha*(1+Inflation_Rate)^U6,0)</f>
        <v>77982.9358853252</v>
      </c>
      <c r="V12" s="21" t="n">
        <f aca="false">IF(V6&gt;0,Total_Area*Road_Cost_Per_Ha*(1+Inflation_Rate)^V6,0)</f>
        <v>79932.5092824583</v>
      </c>
      <c r="W12" s="21" t="n">
        <f aca="false">IF(W6&gt;0,Total_Area*Road_Cost_Per_Ha*(1+Inflation_Rate)^W6,0)</f>
        <v>81930.8220145197</v>
      </c>
      <c r="X12" s="21" t="n">
        <f aca="false">IF(X6&gt;0,Total_Area*Road_Cost_Per_Ha*(1+Inflation_Rate)^X6,0)</f>
        <v>83979.0925648827</v>
      </c>
      <c r="Y12" s="21" t="n">
        <f aca="false">IF(Y6&gt;0,Total_Area*Road_Cost_Per_Ha*(1+Inflation_Rate)^Y6,0)</f>
        <v>86078.5698790048</v>
      </c>
      <c r="Z12" s="21" t="n">
        <f aca="false">IF(Z6&gt;0,Total_Area*Road_Cost_Per_Ha*(1+Inflation_Rate)^Z6,0)</f>
        <v>88230.5341259799</v>
      </c>
      <c r="AA12" s="21" t="n">
        <f aca="false">IF(AA6&gt;0,Total_Area*Road_Cost_Per_Ha*(1+Inflation_Rate)^AA6,0)</f>
        <v>90436.2974791294</v>
      </c>
      <c r="AB12" s="21" t="n">
        <f aca="false">IF(AB6&gt;0,Total_Area*Road_Cost_Per_Ha*(1+Inflation_Rate)^AB6,0)</f>
        <v>92697.2049161076</v>
      </c>
    </row>
    <row r="13" customFormat="false" ht="15" hidden="false" customHeight="false" outlineLevel="0" collapsed="false">
      <c r="B13" s="26" t="s">
        <v>191</v>
      </c>
      <c r="C13" s="21" t="n">
        <f aca="false">IF(C6&gt;0,FSC_Annual_Cost*(1+Inflation_Rate)^C6,0)</f>
        <v>0</v>
      </c>
      <c r="D13" s="21" t="n">
        <f aca="false">IF(D6&gt;0,FSC_Annual_Cost*(1+Inflation_Rate)^D6,0)</f>
        <v>25625</v>
      </c>
      <c r="E13" s="21" t="n">
        <f aca="false">IF(E6&gt;0,FSC_Annual_Cost*(1+Inflation_Rate)^E6,0)</f>
        <v>26265.625</v>
      </c>
      <c r="F13" s="21" t="n">
        <f aca="false">IF(F6&gt;0,FSC_Annual_Cost*(1+Inflation_Rate)^F6,0)</f>
        <v>26922.265625</v>
      </c>
      <c r="G13" s="21" t="n">
        <f aca="false">IF(G6&gt;0,FSC_Annual_Cost*(1+Inflation_Rate)^G6,0)</f>
        <v>27595.322265625</v>
      </c>
      <c r="H13" s="21" t="n">
        <f aca="false">IF(H6&gt;0,FSC_Annual_Cost*(1+Inflation_Rate)^H6,0)</f>
        <v>28285.2053222656</v>
      </c>
      <c r="I13" s="21" t="n">
        <f aca="false">IF(I6&gt;0,FSC_Annual_Cost*(1+Inflation_Rate)^I6,0)</f>
        <v>28992.3354553223</v>
      </c>
      <c r="J13" s="21" t="n">
        <f aca="false">IF(J6&gt;0,FSC_Annual_Cost*(1+Inflation_Rate)^J6,0)</f>
        <v>29717.1438417053</v>
      </c>
      <c r="K13" s="21" t="n">
        <f aca="false">IF(K6&gt;0,FSC_Annual_Cost*(1+Inflation_Rate)^K6,0)</f>
        <v>30460.0724377479</v>
      </c>
      <c r="L13" s="21" t="n">
        <f aca="false">IF(L6&gt;0,FSC_Annual_Cost*(1+Inflation_Rate)^L6,0)</f>
        <v>31221.5742486916</v>
      </c>
      <c r="M13" s="21" t="n">
        <f aca="false">IF(M6&gt;0,FSC_Annual_Cost*(1+Inflation_Rate)^M6,0)</f>
        <v>32002.1136049089</v>
      </c>
      <c r="N13" s="21" t="n">
        <f aca="false">IF(N6&gt;0,FSC_Annual_Cost*(1+Inflation_Rate)^N6,0)</f>
        <v>32802.1664450316</v>
      </c>
      <c r="O13" s="21" t="n">
        <f aca="false">IF(O6&gt;0,FSC_Annual_Cost*(1+Inflation_Rate)^O6,0)</f>
        <v>33622.2206061574</v>
      </c>
      <c r="P13" s="21" t="n">
        <f aca="false">IF(P6&gt;0,FSC_Annual_Cost*(1+Inflation_Rate)^P6,0)</f>
        <v>34462.7761213114</v>
      </c>
      <c r="Q13" s="21" t="n">
        <f aca="false">IF(Q6&gt;0,FSC_Annual_Cost*(1+Inflation_Rate)^Q6,0)</f>
        <v>35324.3455243441</v>
      </c>
      <c r="R13" s="21" t="n">
        <f aca="false">IF(R6&gt;0,FSC_Annual_Cost*(1+Inflation_Rate)^R6,0)</f>
        <v>36207.4541624527</v>
      </c>
      <c r="S13" s="21" t="n">
        <f aca="false">IF(S6&gt;0,FSC_Annual_Cost*(1+Inflation_Rate)^S6,0)</f>
        <v>37112.6405165141</v>
      </c>
      <c r="T13" s="21" t="n">
        <f aca="false">IF(T6&gt;0,FSC_Annual_Cost*(1+Inflation_Rate)^T6,0)</f>
        <v>38040.4565294269</v>
      </c>
      <c r="U13" s="21" t="n">
        <f aca="false">IF(U6&gt;0,FSC_Annual_Cost*(1+Inflation_Rate)^U6,0)</f>
        <v>38991.4679426626</v>
      </c>
      <c r="V13" s="21" t="n">
        <f aca="false">IF(V6&gt;0,FSC_Annual_Cost*(1+Inflation_Rate)^V6,0)</f>
        <v>39966.2546412291</v>
      </c>
      <c r="W13" s="21" t="n">
        <f aca="false">IF(W6&gt;0,FSC_Annual_Cost*(1+Inflation_Rate)^W6,0)</f>
        <v>40965.4110072599</v>
      </c>
      <c r="X13" s="21" t="n">
        <f aca="false">IF(X6&gt;0,FSC_Annual_Cost*(1+Inflation_Rate)^X6,0)</f>
        <v>41989.5462824414</v>
      </c>
      <c r="Y13" s="21" t="n">
        <f aca="false">IF(Y6&gt;0,FSC_Annual_Cost*(1+Inflation_Rate)^Y6,0)</f>
        <v>43039.2849395024</v>
      </c>
      <c r="Z13" s="21" t="n">
        <f aca="false">IF(Z6&gt;0,FSC_Annual_Cost*(1+Inflation_Rate)^Z6,0)</f>
        <v>44115.2670629899</v>
      </c>
      <c r="AA13" s="21" t="n">
        <f aca="false">IF(AA6&gt;0,FSC_Annual_Cost*(1+Inflation_Rate)^AA6,0)</f>
        <v>45218.1487395647</v>
      </c>
      <c r="AB13" s="21" t="n">
        <f aca="false">IF(AB6&gt;0,FSC_Annual_Cost*(1+Inflation_Rate)^AB6,0)</f>
        <v>46348.6024580538</v>
      </c>
    </row>
    <row r="14" customFormat="false" ht="15" hidden="false" customHeight="false" outlineLevel="0" collapsed="false">
      <c r="B14" s="25" t="s">
        <v>192</v>
      </c>
      <c r="C14" s="8"/>
      <c r="D14" s="8"/>
      <c r="E14" s="8"/>
      <c r="F14" s="8"/>
      <c r="G14" s="8"/>
      <c r="H14" s="8"/>
      <c r="I14" s="8"/>
      <c r="J14" s="8"/>
      <c r="K14" s="8"/>
      <c r="L14" s="8"/>
      <c r="M14" s="8"/>
      <c r="N14" s="8"/>
      <c r="O14" s="8"/>
      <c r="P14" s="8"/>
      <c r="Q14" s="8"/>
      <c r="R14" s="8"/>
      <c r="S14" s="8"/>
      <c r="T14" s="8"/>
      <c r="U14" s="8"/>
      <c r="V14" s="8"/>
      <c r="W14" s="8"/>
      <c r="X14" s="8"/>
      <c r="Y14" s="8"/>
      <c r="Z14" s="8"/>
      <c r="AA14" s="8"/>
      <c r="AB14" s="8"/>
    </row>
    <row r="15" customFormat="false" ht="15" hidden="false" customHeight="false" outlineLevel="0" collapsed="false">
      <c r="B15" s="26" t="s">
        <v>192</v>
      </c>
      <c r="C15" s="29" t="n">
        <f aca="false">C8+C9+C10+C11+C12+C13</f>
        <v>0</v>
      </c>
      <c r="D15" s="29" t="n">
        <f aca="false">D8+D9+D10+D11+D12+D13</f>
        <v>1460625</v>
      </c>
      <c r="E15" s="29" t="n">
        <f aca="false">E8+E9+E10+E11+E12+E13</f>
        <v>1497140.625</v>
      </c>
      <c r="F15" s="29" t="n">
        <f aca="false">F8+F9+F10+F11+F12+F13</f>
        <v>1534569.140625</v>
      </c>
      <c r="G15" s="29" t="n">
        <f aca="false">G8+G9+G10+G11+G12+G13</f>
        <v>1572933.36914062</v>
      </c>
      <c r="H15" s="29" t="n">
        <f aca="false">H8+H9+H10+H11+H12+H13</f>
        <v>1612256.70336914</v>
      </c>
      <c r="I15" s="29" t="n">
        <f aca="false">I8+I9+I10+I11+I12+I13</f>
        <v>1652563.12095337</v>
      </c>
      <c r="J15" s="29" t="n">
        <f aca="false">J8+J9+J10+J11+J12+J13</f>
        <v>1693877.1989772</v>
      </c>
      <c r="K15" s="29" t="n">
        <f aca="false">K8+K9+K10+K11+K12+K13</f>
        <v>1736224.12895163</v>
      </c>
      <c r="L15" s="29" t="n">
        <f aca="false">L8+L9+L10+L11+L12+L13</f>
        <v>1779629.73217542</v>
      </c>
      <c r="M15" s="29" t="n">
        <f aca="false">M8+M9+M10+M11+M12+M13</f>
        <v>1824120.47547981</v>
      </c>
      <c r="N15" s="29" t="n">
        <f aca="false">N8+N9+N10+N11+N12+N13</f>
        <v>1869723.4873668</v>
      </c>
      <c r="O15" s="29" t="n">
        <f aca="false">O8+O9+O10+O11+O12+O13</f>
        <v>1916466.57455097</v>
      </c>
      <c r="P15" s="29" t="n">
        <f aca="false">P8+P9+P10+P11+P12+P13</f>
        <v>1964378.23891475</v>
      </c>
      <c r="Q15" s="29" t="n">
        <f aca="false">Q8+Q9+Q10+Q11+Q12+Q13</f>
        <v>2013487.69488762</v>
      </c>
      <c r="R15" s="29" t="n">
        <f aca="false">R8+R9+R10+R11+R12+R13</f>
        <v>2063824.88725981</v>
      </c>
      <c r="S15" s="29" t="n">
        <f aca="false">S8+S9+S10+S11+S12+S13</f>
        <v>2115420.5094413</v>
      </c>
      <c r="T15" s="29" t="n">
        <f aca="false">T8+T9+T10+T11+T12+T13</f>
        <v>2168306.02217733</v>
      </c>
      <c r="U15" s="29" t="n">
        <f aca="false">U8+U9+U10+U11+U12+U13</f>
        <v>2222513.67273177</v>
      </c>
      <c r="V15" s="29" t="n">
        <f aca="false">V8+V9+V10+V11+V12+V13</f>
        <v>2278076.51455006</v>
      </c>
      <c r="W15" s="29" t="n">
        <f aca="false">W8+W9+W10+W11+W12+W13</f>
        <v>2335028.42741381</v>
      </c>
      <c r="X15" s="29" t="n">
        <f aca="false">X8+X9+X10+X11+X12+X13</f>
        <v>2393404.13809916</v>
      </c>
      <c r="Y15" s="29" t="n">
        <f aca="false">Y8+Y9+Y10+Y11+Y12+Y13</f>
        <v>2453239.24155164</v>
      </c>
      <c r="Z15" s="29" t="n">
        <f aca="false">Z8+Z9+Z10+Z11+Z12+Z13</f>
        <v>2514570.22259043</v>
      </c>
      <c r="AA15" s="29" t="n">
        <f aca="false">AA8+AA9+AA10+AA11+AA12+AA13</f>
        <v>2577434.47815519</v>
      </c>
      <c r="AB15" s="29" t="n">
        <f aca="false">AB8+AB9+AB10+AB11+AB12+AB13</f>
        <v>2641870.34010907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28"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193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194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C5" s="23" t="n">
        <f aca="false">Model_Start_Year+0</f>
        <v>2025</v>
      </c>
      <c r="D5" s="23" t="n">
        <f aca="false">Model_Start_Year+1</f>
        <v>2026</v>
      </c>
      <c r="E5" s="23" t="n">
        <f aca="false">Model_Start_Year+2</f>
        <v>2027</v>
      </c>
      <c r="F5" s="23" t="n">
        <f aca="false">Model_Start_Year+3</f>
        <v>2028</v>
      </c>
      <c r="G5" s="23" t="n">
        <f aca="false">Model_Start_Year+4</f>
        <v>2029</v>
      </c>
      <c r="H5" s="23" t="n">
        <f aca="false">Model_Start_Year+5</f>
        <v>2030</v>
      </c>
      <c r="I5" s="23" t="n">
        <f aca="false">Model_Start_Year+6</f>
        <v>2031</v>
      </c>
      <c r="J5" s="23" t="n">
        <f aca="false">Model_Start_Year+7</f>
        <v>2032</v>
      </c>
      <c r="K5" s="23" t="n">
        <f aca="false">Model_Start_Year+8</f>
        <v>2033</v>
      </c>
      <c r="L5" s="23" t="n">
        <f aca="false">Model_Start_Year+9</f>
        <v>2034</v>
      </c>
      <c r="M5" s="23" t="n">
        <f aca="false">Model_Start_Year+10</f>
        <v>2035</v>
      </c>
      <c r="N5" s="23" t="n">
        <f aca="false">Model_Start_Year+11</f>
        <v>2036</v>
      </c>
      <c r="O5" s="23" t="n">
        <f aca="false">Model_Start_Year+12</f>
        <v>2037</v>
      </c>
      <c r="P5" s="23" t="n">
        <f aca="false">Model_Start_Year+13</f>
        <v>2038</v>
      </c>
      <c r="Q5" s="23" t="n">
        <f aca="false">Model_Start_Year+14</f>
        <v>2039</v>
      </c>
      <c r="R5" s="23" t="n">
        <f aca="false">Model_Start_Year+15</f>
        <v>2040</v>
      </c>
      <c r="S5" s="23" t="n">
        <f aca="false">Model_Start_Year+16</f>
        <v>2041</v>
      </c>
      <c r="T5" s="23" t="n">
        <f aca="false">Model_Start_Year+17</f>
        <v>2042</v>
      </c>
      <c r="U5" s="23" t="n">
        <f aca="false">Model_Start_Year+18</f>
        <v>2043</v>
      </c>
      <c r="V5" s="23" t="n">
        <f aca="false">Model_Start_Year+19</f>
        <v>2044</v>
      </c>
      <c r="W5" s="23" t="n">
        <f aca="false">Model_Start_Year+20</f>
        <v>2045</v>
      </c>
      <c r="X5" s="23" t="n">
        <f aca="false">Model_Start_Year+21</f>
        <v>2046</v>
      </c>
      <c r="Y5" s="23" t="n">
        <f aca="false">Model_Start_Year+22</f>
        <v>2047</v>
      </c>
      <c r="Z5" s="23" t="n">
        <f aca="false">Model_Start_Year+23</f>
        <v>2048</v>
      </c>
      <c r="AA5" s="23" t="n">
        <f aca="false">Model_Start_Year+24</f>
        <v>2049</v>
      </c>
      <c r="AB5" s="23" t="n">
        <f aca="false">Model_Start_Year+25</f>
        <v>2050</v>
      </c>
    </row>
    <row r="6" customFormat="false" ht="15" hidden="false" customHeight="false" outlineLevel="0" collapsed="false">
      <c r="C6" s="24" t="n">
        <v>0</v>
      </c>
      <c r="D6" s="24" t="n">
        <v>1</v>
      </c>
      <c r="E6" s="24" t="n">
        <v>2</v>
      </c>
      <c r="F6" s="24" t="n">
        <v>3</v>
      </c>
      <c r="G6" s="24" t="n">
        <v>4</v>
      </c>
      <c r="H6" s="24" t="n">
        <v>5</v>
      </c>
      <c r="I6" s="24" t="n">
        <v>6</v>
      </c>
      <c r="J6" s="24" t="n">
        <v>7</v>
      </c>
      <c r="K6" s="24" t="n">
        <v>8</v>
      </c>
      <c r="L6" s="24" t="n">
        <v>9</v>
      </c>
      <c r="M6" s="24" t="n">
        <v>10</v>
      </c>
      <c r="N6" s="24" t="n">
        <v>11</v>
      </c>
      <c r="O6" s="24" t="n">
        <v>12</v>
      </c>
      <c r="P6" s="24" t="n">
        <v>13</v>
      </c>
      <c r="Q6" s="24" t="n">
        <v>14</v>
      </c>
      <c r="R6" s="24" t="n">
        <v>15</v>
      </c>
      <c r="S6" s="24" t="n">
        <v>16</v>
      </c>
      <c r="T6" s="24" t="n">
        <v>17</v>
      </c>
      <c r="U6" s="24" t="n">
        <v>18</v>
      </c>
      <c r="V6" s="24" t="n">
        <v>19</v>
      </c>
      <c r="W6" s="24" t="n">
        <v>20</v>
      </c>
      <c r="X6" s="24" t="n">
        <v>21</v>
      </c>
      <c r="Y6" s="24" t="n">
        <v>22</v>
      </c>
      <c r="Z6" s="24" t="n">
        <v>23</v>
      </c>
      <c r="AA6" s="24" t="n">
        <v>24</v>
      </c>
      <c r="AB6" s="24" t="n">
        <v>25</v>
      </c>
    </row>
    <row r="7" customFormat="false" ht="15" hidden="false" customHeight="false" outlineLevel="0" collapsed="false">
      <c r="B7" s="30" t="s">
        <v>195</v>
      </c>
      <c r="C7" s="10"/>
      <c r="D7" s="10"/>
      <c r="E7" s="10"/>
      <c r="F7" s="10"/>
      <c r="G7" s="10"/>
      <c r="H7" s="10"/>
      <c r="I7" s="10"/>
      <c r="J7" s="10"/>
      <c r="K7" s="10"/>
      <c r="L7" s="10"/>
      <c r="M7" s="10"/>
      <c r="N7" s="10"/>
      <c r="O7" s="10"/>
      <c r="P7" s="10"/>
      <c r="Q7" s="10"/>
      <c r="R7" s="10"/>
      <c r="S7" s="10"/>
      <c r="T7" s="10"/>
      <c r="U7" s="10"/>
      <c r="V7" s="10"/>
      <c r="W7" s="10"/>
      <c r="X7" s="10"/>
      <c r="Y7" s="10"/>
      <c r="Z7" s="10"/>
      <c r="AA7" s="10"/>
      <c r="AB7" s="10"/>
    </row>
    <row r="8" customFormat="false" ht="15" hidden="false" customHeight="false" outlineLevel="0" collapsed="false">
      <c r="B8" s="6" t="s">
        <v>196</v>
      </c>
      <c r="C8" s="21" t="n">
        <f aca="false">0</f>
        <v>0</v>
      </c>
      <c r="D8" s="21" t="n">
        <f aca="false">Senior_Debt_Draw</f>
        <v>15080000</v>
      </c>
      <c r="E8" s="21" t="n">
        <f aca="false">D12</f>
        <v>15080000</v>
      </c>
      <c r="F8" s="21" t="n">
        <f aca="false">E12</f>
        <v>15080000</v>
      </c>
      <c r="G8" s="21" t="n">
        <f aca="false">F12</f>
        <v>15080000</v>
      </c>
      <c r="H8" s="21" t="n">
        <f aca="false">G12</f>
        <v>15080000</v>
      </c>
      <c r="I8" s="21" t="n">
        <f aca="false">H12</f>
        <v>15080000</v>
      </c>
      <c r="J8" s="21" t="n">
        <f aca="false">I12</f>
        <v>15080000</v>
      </c>
      <c r="K8" s="21" t="n">
        <f aca="false">J12</f>
        <v>15080000</v>
      </c>
      <c r="L8" s="21" t="n">
        <f aca="false">K12</f>
        <v>15080000</v>
      </c>
      <c r="M8" s="21" t="n">
        <f aca="false">L12</f>
        <v>15080000</v>
      </c>
      <c r="N8" s="21" t="n">
        <f aca="false">M12</f>
        <v>15080000</v>
      </c>
      <c r="O8" s="21" t="n">
        <f aca="false">N12</f>
        <v>15080000</v>
      </c>
      <c r="P8" s="21" t="n">
        <f aca="false">O12</f>
        <v>15080000</v>
      </c>
      <c r="Q8" s="21" t="n">
        <f aca="false">P12</f>
        <v>15080000</v>
      </c>
      <c r="R8" s="21" t="n">
        <f aca="false">Q12</f>
        <v>15080000</v>
      </c>
      <c r="S8" s="21" t="n">
        <f aca="false">R12</f>
        <v>15080000</v>
      </c>
      <c r="T8" s="21" t="n">
        <f aca="false">S12</f>
        <v>15080000</v>
      </c>
      <c r="U8" s="21" t="n">
        <f aca="false">T12</f>
        <v>15080000</v>
      </c>
      <c r="V8" s="21" t="n">
        <f aca="false">U12</f>
        <v>15080000</v>
      </c>
      <c r="W8" s="21" t="n">
        <f aca="false">V12</f>
        <v>15080000</v>
      </c>
      <c r="X8" s="21" t="n">
        <f aca="false">W12</f>
        <v>15080000</v>
      </c>
      <c r="Y8" s="21" t="n">
        <f aca="false">X12</f>
        <v>15080000</v>
      </c>
      <c r="Z8" s="21" t="n">
        <f aca="false">Y12</f>
        <v>15080000</v>
      </c>
      <c r="AA8" s="21" t="n">
        <f aca="false">Z12</f>
        <v>15080000</v>
      </c>
      <c r="AB8" s="21" t="n">
        <f aca="false">AA12</f>
        <v>15080000</v>
      </c>
    </row>
    <row r="9" customFormat="false" ht="15" hidden="false" customHeight="false" outlineLevel="0" collapsed="false">
      <c r="B9" s="6" t="s">
        <v>197</v>
      </c>
      <c r="C9" s="21" t="n">
        <f aca="false">Senior_Debt_Draw</f>
        <v>15080000</v>
      </c>
      <c r="D9" s="21" t="n">
        <f aca="false">0</f>
        <v>0</v>
      </c>
      <c r="E9" s="21" t="n">
        <f aca="false">0</f>
        <v>0</v>
      </c>
      <c r="F9" s="21" t="n">
        <f aca="false">0</f>
        <v>0</v>
      </c>
      <c r="G9" s="21" t="n">
        <f aca="false">0</f>
        <v>0</v>
      </c>
      <c r="H9" s="21" t="n">
        <f aca="false">0</f>
        <v>0</v>
      </c>
      <c r="I9" s="21" t="n">
        <f aca="false">0</f>
        <v>0</v>
      </c>
      <c r="J9" s="21" t="n">
        <f aca="false">0</f>
        <v>0</v>
      </c>
      <c r="K9" s="21" t="n">
        <f aca="false">0</f>
        <v>0</v>
      </c>
      <c r="L9" s="21" t="n">
        <f aca="false">0</f>
        <v>0</v>
      </c>
      <c r="M9" s="21" t="n">
        <f aca="false">0</f>
        <v>0</v>
      </c>
      <c r="N9" s="21" t="n">
        <f aca="false">0</f>
        <v>0</v>
      </c>
      <c r="O9" s="21" t="n">
        <f aca="false">0</f>
        <v>0</v>
      </c>
      <c r="P9" s="21" t="n">
        <f aca="false">0</f>
        <v>0</v>
      </c>
      <c r="Q9" s="21" t="n">
        <f aca="false">0</f>
        <v>0</v>
      </c>
      <c r="R9" s="21" t="n">
        <f aca="false">0</f>
        <v>0</v>
      </c>
      <c r="S9" s="21" t="n">
        <f aca="false">0</f>
        <v>0</v>
      </c>
      <c r="T9" s="21" t="n">
        <f aca="false">0</f>
        <v>0</v>
      </c>
      <c r="U9" s="21" t="n">
        <f aca="false">0</f>
        <v>0</v>
      </c>
      <c r="V9" s="21" t="n">
        <f aca="false">0</f>
        <v>0</v>
      </c>
      <c r="W9" s="21" t="n">
        <f aca="false">0</f>
        <v>0</v>
      </c>
      <c r="X9" s="21" t="n">
        <f aca="false">0</f>
        <v>0</v>
      </c>
      <c r="Y9" s="21" t="n">
        <f aca="false">0</f>
        <v>0</v>
      </c>
      <c r="Z9" s="21" t="n">
        <f aca="false">0</f>
        <v>0</v>
      </c>
      <c r="AA9" s="21" t="n">
        <f aca="false">0</f>
        <v>0</v>
      </c>
      <c r="AB9" s="21" t="n">
        <f aca="false">0</f>
        <v>0</v>
      </c>
    </row>
    <row r="10" customFormat="false" ht="15" hidden="false" customHeight="false" outlineLevel="0" collapsed="false">
      <c r="B10" s="26" t="s">
        <v>198</v>
      </c>
      <c r="C10" s="21" t="n">
        <f aca="false">C8*Debt_Rate</f>
        <v>0</v>
      </c>
      <c r="D10" s="21" t="n">
        <f aca="false">D8*Debt_Rate</f>
        <v>980200</v>
      </c>
      <c r="E10" s="21" t="n">
        <f aca="false">E8*Debt_Rate</f>
        <v>980200</v>
      </c>
      <c r="F10" s="21" t="n">
        <f aca="false">F8*Debt_Rate</f>
        <v>980200</v>
      </c>
      <c r="G10" s="21" t="n">
        <f aca="false">G8*Debt_Rate</f>
        <v>980200</v>
      </c>
      <c r="H10" s="21" t="n">
        <f aca="false">H8*Debt_Rate</f>
        <v>980200</v>
      </c>
      <c r="I10" s="21" t="n">
        <f aca="false">I8*Debt_Rate</f>
        <v>980200</v>
      </c>
      <c r="J10" s="21" t="n">
        <f aca="false">J8*Debt_Rate</f>
        <v>980200</v>
      </c>
      <c r="K10" s="21" t="n">
        <f aca="false">K8*Debt_Rate</f>
        <v>980200</v>
      </c>
      <c r="L10" s="21" t="n">
        <f aca="false">L8*Debt_Rate</f>
        <v>980200</v>
      </c>
      <c r="M10" s="21" t="n">
        <f aca="false">M8*Debt_Rate</f>
        <v>980200</v>
      </c>
      <c r="N10" s="21" t="n">
        <f aca="false">N8*Debt_Rate</f>
        <v>980200</v>
      </c>
      <c r="O10" s="21" t="n">
        <f aca="false">O8*Debt_Rate</f>
        <v>980200</v>
      </c>
      <c r="P10" s="21" t="n">
        <f aca="false">P8*Debt_Rate</f>
        <v>980200</v>
      </c>
      <c r="Q10" s="21" t="n">
        <f aca="false">Q8*Debt_Rate</f>
        <v>980200</v>
      </c>
      <c r="R10" s="21" t="n">
        <f aca="false">R8*Debt_Rate</f>
        <v>980200</v>
      </c>
      <c r="S10" s="21" t="n">
        <f aca="false">S8*Debt_Rate</f>
        <v>980200</v>
      </c>
      <c r="T10" s="21" t="n">
        <f aca="false">T8*Debt_Rate</f>
        <v>980200</v>
      </c>
      <c r="U10" s="21" t="n">
        <f aca="false">U8*Debt_Rate</f>
        <v>980200</v>
      </c>
      <c r="V10" s="21" t="n">
        <f aca="false">V8*Debt_Rate</f>
        <v>980200</v>
      </c>
      <c r="W10" s="21" t="n">
        <f aca="false">W8*Debt_Rate</f>
        <v>980200</v>
      </c>
      <c r="X10" s="21" t="n">
        <f aca="false">X8*Debt_Rate</f>
        <v>980200</v>
      </c>
      <c r="Y10" s="21" t="n">
        <f aca="false">Y8*Debt_Rate</f>
        <v>980200</v>
      </c>
      <c r="Z10" s="21" t="n">
        <f aca="false">Z8*Debt_Rate</f>
        <v>980200</v>
      </c>
      <c r="AA10" s="21" t="n">
        <f aca="false">AA8*Debt_Rate</f>
        <v>980200</v>
      </c>
      <c r="AB10" s="21" t="n">
        <f aca="false">AB8*Debt_Rate</f>
        <v>980200</v>
      </c>
    </row>
    <row r="11" customFormat="false" ht="15" hidden="false" customHeight="false" outlineLevel="0" collapsed="false">
      <c r="B11" s="26" t="s">
        <v>199</v>
      </c>
      <c r="C11" s="21" t="n">
        <f aca="false">IF(C6=Rotation_Length,C8,0)</f>
        <v>0</v>
      </c>
      <c r="D11" s="21" t="n">
        <f aca="false">IF(D6=Rotation_Length,D8,0)</f>
        <v>0</v>
      </c>
      <c r="E11" s="21" t="n">
        <f aca="false">IF(E6=Rotation_Length,E8,0)</f>
        <v>0</v>
      </c>
      <c r="F11" s="21" t="n">
        <f aca="false">IF(F6=Rotation_Length,F8,0)</f>
        <v>0</v>
      </c>
      <c r="G11" s="21" t="n">
        <f aca="false">IF(G6=Rotation_Length,G8,0)</f>
        <v>0</v>
      </c>
      <c r="H11" s="21" t="n">
        <f aca="false">IF(H6=Rotation_Length,H8,0)</f>
        <v>0</v>
      </c>
      <c r="I11" s="21" t="n">
        <f aca="false">IF(I6=Rotation_Length,I8,0)</f>
        <v>0</v>
      </c>
      <c r="J11" s="21" t="n">
        <f aca="false">IF(J6=Rotation_Length,J8,0)</f>
        <v>0</v>
      </c>
      <c r="K11" s="21" t="n">
        <f aca="false">IF(K6=Rotation_Length,K8,0)</f>
        <v>0</v>
      </c>
      <c r="L11" s="21" t="n">
        <f aca="false">IF(L6=Rotation_Length,L8,0)</f>
        <v>0</v>
      </c>
      <c r="M11" s="21" t="n">
        <f aca="false">IF(M6=Rotation_Length,M8,0)</f>
        <v>0</v>
      </c>
      <c r="N11" s="21" t="n">
        <f aca="false">IF(N6=Rotation_Length,N8,0)</f>
        <v>0</v>
      </c>
      <c r="O11" s="21" t="n">
        <f aca="false">IF(O6=Rotation_Length,O8,0)</f>
        <v>0</v>
      </c>
      <c r="P11" s="21" t="n">
        <f aca="false">IF(P6=Rotation_Length,P8,0)</f>
        <v>0</v>
      </c>
      <c r="Q11" s="21" t="n">
        <f aca="false">IF(Q6=Rotation_Length,Q8,0)</f>
        <v>0</v>
      </c>
      <c r="R11" s="21" t="n">
        <f aca="false">IF(R6=Rotation_Length,R8,0)</f>
        <v>0</v>
      </c>
      <c r="S11" s="21" t="n">
        <f aca="false">IF(S6=Rotation_Length,S8,0)</f>
        <v>0</v>
      </c>
      <c r="T11" s="21" t="n">
        <f aca="false">IF(T6=Rotation_Length,T8,0)</f>
        <v>0</v>
      </c>
      <c r="U11" s="21" t="n">
        <f aca="false">IF(U6=Rotation_Length,U8,0)</f>
        <v>0</v>
      </c>
      <c r="V11" s="21" t="n">
        <f aca="false">IF(V6=Rotation_Length,V8,0)</f>
        <v>0</v>
      </c>
      <c r="W11" s="21" t="n">
        <f aca="false">IF(W6=Rotation_Length,W8,0)</f>
        <v>0</v>
      </c>
      <c r="X11" s="21" t="n">
        <f aca="false">IF(X6=Rotation_Length,X8,0)</f>
        <v>0</v>
      </c>
      <c r="Y11" s="21" t="n">
        <f aca="false">IF(Y6=Rotation_Length,Y8,0)</f>
        <v>0</v>
      </c>
      <c r="Z11" s="21" t="n">
        <f aca="false">IF(Z6=Rotation_Length,Z8,0)</f>
        <v>0</v>
      </c>
      <c r="AA11" s="21" t="n">
        <f aca="false">IF(AA6=Rotation_Length,AA8,0)</f>
        <v>0</v>
      </c>
      <c r="AB11" s="21" t="n">
        <f aca="false">IF(AB6=Rotation_Length,AB8,0)</f>
        <v>15080000</v>
      </c>
    </row>
    <row r="12" customFormat="false" ht="15" hidden="false" customHeight="false" outlineLevel="0" collapsed="false">
      <c r="B12" s="26" t="s">
        <v>200</v>
      </c>
      <c r="C12" s="29" t="n">
        <f aca="false">C8+C9-C11</f>
        <v>15080000</v>
      </c>
      <c r="D12" s="29" t="n">
        <f aca="false">D8+D9-D11</f>
        <v>15080000</v>
      </c>
      <c r="E12" s="29" t="n">
        <f aca="false">E8+E9-E11</f>
        <v>15080000</v>
      </c>
      <c r="F12" s="29" t="n">
        <f aca="false">F8+F9-F11</f>
        <v>15080000</v>
      </c>
      <c r="G12" s="29" t="n">
        <f aca="false">G8+G9-G11</f>
        <v>15080000</v>
      </c>
      <c r="H12" s="29" t="n">
        <f aca="false">H8+H9-H11</f>
        <v>15080000</v>
      </c>
      <c r="I12" s="29" t="n">
        <f aca="false">I8+I9-I11</f>
        <v>15080000</v>
      </c>
      <c r="J12" s="29" t="n">
        <f aca="false">J8+J9-J11</f>
        <v>15080000</v>
      </c>
      <c r="K12" s="29" t="n">
        <f aca="false">K8+K9-K11</f>
        <v>15080000</v>
      </c>
      <c r="L12" s="29" t="n">
        <f aca="false">L8+L9-L11</f>
        <v>15080000</v>
      </c>
      <c r="M12" s="29" t="n">
        <f aca="false">M8+M9-M11</f>
        <v>15080000</v>
      </c>
      <c r="N12" s="29" t="n">
        <f aca="false">N8+N9-N11</f>
        <v>15080000</v>
      </c>
      <c r="O12" s="29" t="n">
        <f aca="false">O8+O9-O11</f>
        <v>15080000</v>
      </c>
      <c r="P12" s="29" t="n">
        <f aca="false">P8+P9-P11</f>
        <v>15080000</v>
      </c>
      <c r="Q12" s="29" t="n">
        <f aca="false">Q8+Q9-Q11</f>
        <v>15080000</v>
      </c>
      <c r="R12" s="29" t="n">
        <f aca="false">R8+R9-R11</f>
        <v>15080000</v>
      </c>
      <c r="S12" s="29" t="n">
        <f aca="false">S8+S9-S11</f>
        <v>15080000</v>
      </c>
      <c r="T12" s="29" t="n">
        <f aca="false">T8+T9-T11</f>
        <v>15080000</v>
      </c>
      <c r="U12" s="29" t="n">
        <f aca="false">U8+U9-U11</f>
        <v>15080000</v>
      </c>
      <c r="V12" s="29" t="n">
        <f aca="false">V8+V9-V11</f>
        <v>15080000</v>
      </c>
      <c r="W12" s="29" t="n">
        <f aca="false">W8+W9-W11</f>
        <v>15080000</v>
      </c>
      <c r="X12" s="29" t="n">
        <f aca="false">X8+X9-X11</f>
        <v>15080000</v>
      </c>
      <c r="Y12" s="29" t="n">
        <f aca="false">Y8+Y9-Y11</f>
        <v>15080000</v>
      </c>
      <c r="Z12" s="29" t="n">
        <f aca="false">Z8+Z9-Z11</f>
        <v>15080000</v>
      </c>
      <c r="AA12" s="29" t="n">
        <f aca="false">AA8+AA9-AA11</f>
        <v>15080000</v>
      </c>
      <c r="AB12" s="29" t="n">
        <f aca="false">AB8+AB9-AB11</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28"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201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202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C5" s="23" t="n">
        <f aca="false">Model_Start_Year+0</f>
        <v>2025</v>
      </c>
      <c r="D5" s="23" t="n">
        <f aca="false">Model_Start_Year+1</f>
        <v>2026</v>
      </c>
      <c r="E5" s="23" t="n">
        <f aca="false">Model_Start_Year+2</f>
        <v>2027</v>
      </c>
      <c r="F5" s="23" t="n">
        <f aca="false">Model_Start_Year+3</f>
        <v>2028</v>
      </c>
      <c r="G5" s="23" t="n">
        <f aca="false">Model_Start_Year+4</f>
        <v>2029</v>
      </c>
      <c r="H5" s="23" t="n">
        <f aca="false">Model_Start_Year+5</f>
        <v>2030</v>
      </c>
      <c r="I5" s="23" t="n">
        <f aca="false">Model_Start_Year+6</f>
        <v>2031</v>
      </c>
      <c r="J5" s="23" t="n">
        <f aca="false">Model_Start_Year+7</f>
        <v>2032</v>
      </c>
      <c r="K5" s="23" t="n">
        <f aca="false">Model_Start_Year+8</f>
        <v>2033</v>
      </c>
      <c r="L5" s="23" t="n">
        <f aca="false">Model_Start_Year+9</f>
        <v>2034</v>
      </c>
      <c r="M5" s="23" t="n">
        <f aca="false">Model_Start_Year+10</f>
        <v>2035</v>
      </c>
      <c r="N5" s="23" t="n">
        <f aca="false">Model_Start_Year+11</f>
        <v>2036</v>
      </c>
      <c r="O5" s="23" t="n">
        <f aca="false">Model_Start_Year+12</f>
        <v>2037</v>
      </c>
      <c r="P5" s="23" t="n">
        <f aca="false">Model_Start_Year+13</f>
        <v>2038</v>
      </c>
      <c r="Q5" s="23" t="n">
        <f aca="false">Model_Start_Year+14</f>
        <v>2039</v>
      </c>
      <c r="R5" s="23" t="n">
        <f aca="false">Model_Start_Year+15</f>
        <v>2040</v>
      </c>
      <c r="S5" s="23" t="n">
        <f aca="false">Model_Start_Year+16</f>
        <v>2041</v>
      </c>
      <c r="T5" s="23" t="n">
        <f aca="false">Model_Start_Year+17</f>
        <v>2042</v>
      </c>
      <c r="U5" s="23" t="n">
        <f aca="false">Model_Start_Year+18</f>
        <v>2043</v>
      </c>
      <c r="V5" s="23" t="n">
        <f aca="false">Model_Start_Year+19</f>
        <v>2044</v>
      </c>
      <c r="W5" s="23" t="n">
        <f aca="false">Model_Start_Year+20</f>
        <v>2045</v>
      </c>
      <c r="X5" s="23" t="n">
        <f aca="false">Model_Start_Year+21</f>
        <v>2046</v>
      </c>
      <c r="Y5" s="23" t="n">
        <f aca="false">Model_Start_Year+22</f>
        <v>2047</v>
      </c>
      <c r="Z5" s="23" t="n">
        <f aca="false">Model_Start_Year+23</f>
        <v>2048</v>
      </c>
      <c r="AA5" s="23" t="n">
        <f aca="false">Model_Start_Year+24</f>
        <v>2049</v>
      </c>
      <c r="AB5" s="23" t="n">
        <f aca="false">Model_Start_Year+25</f>
        <v>2050</v>
      </c>
    </row>
    <row r="6" customFormat="false" ht="15" hidden="false" customHeight="false" outlineLevel="0" collapsed="false">
      <c r="C6" s="24" t="n">
        <v>0</v>
      </c>
      <c r="D6" s="24" t="n">
        <v>1</v>
      </c>
      <c r="E6" s="24" t="n">
        <v>2</v>
      </c>
      <c r="F6" s="24" t="n">
        <v>3</v>
      </c>
      <c r="G6" s="24" t="n">
        <v>4</v>
      </c>
      <c r="H6" s="24" t="n">
        <v>5</v>
      </c>
      <c r="I6" s="24" t="n">
        <v>6</v>
      </c>
      <c r="J6" s="24" t="n">
        <v>7</v>
      </c>
      <c r="K6" s="24" t="n">
        <v>8</v>
      </c>
      <c r="L6" s="24" t="n">
        <v>9</v>
      </c>
      <c r="M6" s="24" t="n">
        <v>10</v>
      </c>
      <c r="N6" s="24" t="n">
        <v>11</v>
      </c>
      <c r="O6" s="24" t="n">
        <v>12</v>
      </c>
      <c r="P6" s="24" t="n">
        <v>13</v>
      </c>
      <c r="Q6" s="24" t="n">
        <v>14</v>
      </c>
      <c r="R6" s="24" t="n">
        <v>15</v>
      </c>
      <c r="S6" s="24" t="n">
        <v>16</v>
      </c>
      <c r="T6" s="24" t="n">
        <v>17</v>
      </c>
      <c r="U6" s="24" t="n">
        <v>18</v>
      </c>
      <c r="V6" s="24" t="n">
        <v>19</v>
      </c>
      <c r="W6" s="24" t="n">
        <v>20</v>
      </c>
      <c r="X6" s="24" t="n">
        <v>21</v>
      </c>
      <c r="Y6" s="24" t="n">
        <v>22</v>
      </c>
      <c r="Z6" s="24" t="n">
        <v>23</v>
      </c>
      <c r="AA6" s="24" t="n">
        <v>24</v>
      </c>
      <c r="AB6" s="24" t="n">
        <v>25</v>
      </c>
    </row>
    <row r="7" customFormat="false" ht="15" hidden="false" customHeight="false" outlineLevel="0" collapsed="false">
      <c r="B7" s="25" t="s">
        <v>203</v>
      </c>
      <c r="C7" s="8"/>
      <c r="D7" s="8"/>
      <c r="E7" s="8"/>
      <c r="F7" s="8"/>
      <c r="G7" s="8"/>
      <c r="H7" s="8"/>
      <c r="I7" s="8"/>
      <c r="J7" s="8"/>
      <c r="K7" s="8"/>
      <c r="L7" s="8"/>
      <c r="M7" s="8"/>
      <c r="N7" s="8"/>
      <c r="O7" s="8"/>
      <c r="P7" s="8"/>
      <c r="Q7" s="8"/>
      <c r="R7" s="8"/>
      <c r="S7" s="8"/>
      <c r="T7" s="8"/>
      <c r="U7" s="8"/>
      <c r="V7" s="8"/>
      <c r="W7" s="8"/>
      <c r="X7" s="8"/>
      <c r="Y7" s="8"/>
      <c r="Z7" s="8"/>
      <c r="AA7" s="8"/>
      <c r="AB7" s="8"/>
    </row>
    <row r="8" customFormat="false" ht="15" hidden="false" customHeight="false" outlineLevel="0" collapsed="false">
      <c r="B8" s="26" t="s">
        <v>204</v>
      </c>
      <c r="C8" s="31" t="n">
        <f aca="false">Revenue!C24</f>
        <v>0</v>
      </c>
      <c r="D8" s="31" t="n">
        <f aca="false">Revenue!D24</f>
        <v>325150</v>
      </c>
      <c r="E8" s="31" t="n">
        <f aca="false">Revenue!E24</f>
        <v>339972.5</v>
      </c>
      <c r="F8" s="31" t="n">
        <f aca="false">Revenue!F24</f>
        <v>355500.25</v>
      </c>
      <c r="G8" s="31" t="n">
        <f aca="false">Revenue!G24</f>
        <v>371767.615625</v>
      </c>
      <c r="H8" s="31" t="n">
        <f aca="false">Revenue!H24</f>
        <v>1124335.48844118</v>
      </c>
      <c r="I8" s="31" t="n">
        <f aca="false">Revenue!I24</f>
        <v>1156902.54646273</v>
      </c>
      <c r="J8" s="31" t="n">
        <f aca="false">Revenue!J24</f>
        <v>1190617.04319987</v>
      </c>
      <c r="K8" s="31" t="n">
        <f aca="false">Revenue!K24</f>
        <v>1225526.53430821</v>
      </c>
      <c r="L8" s="31" t="n">
        <f aca="false">Revenue!L24</f>
        <v>1261680.75195067</v>
      </c>
      <c r="M8" s="31" t="n">
        <f aca="false">Revenue!M24</f>
        <v>1299131.7094735</v>
      </c>
      <c r="N8" s="31" t="n">
        <f aca="false">Revenue!N24</f>
        <v>1337933.81123019</v>
      </c>
      <c r="O8" s="31" t="n">
        <f aca="false">Revenue!O24</f>
        <v>1378143.96780857</v>
      </c>
      <c r="P8" s="31" t="n">
        <f aca="false">Revenue!P24</f>
        <v>1419821.7169296</v>
      </c>
      <c r="Q8" s="31" t="n">
        <f aca="false">Revenue!Q24</f>
        <v>1463029.35029952</v>
      </c>
      <c r="R8" s="31" t="n">
        <f aca="false">Revenue!R24</f>
        <v>1507832.0467111</v>
      </c>
      <c r="S8" s="31" t="n">
        <f aca="false">Revenue!S24</f>
        <v>1554298.01170444</v>
      </c>
      <c r="T8" s="31" t="n">
        <f aca="false">Revenue!T24</f>
        <v>1602498.62411343</v>
      </c>
      <c r="U8" s="31" t="n">
        <f aca="false">Revenue!U24</f>
        <v>1652508.58984001</v>
      </c>
      <c r="V8" s="31" t="n">
        <f aca="false">Revenue!V24</f>
        <v>1704406.1032155</v>
      </c>
      <c r="W8" s="31" t="n">
        <f aca="false">Revenue!W24</f>
        <v>1758273.01632642</v>
      </c>
      <c r="X8" s="31" t="n">
        <f aca="false">Revenue!X24</f>
        <v>1814195.01670058</v>
      </c>
      <c r="Y8" s="31" t="n">
        <f aca="false">Revenue!Y24</f>
        <v>1872261.81376953</v>
      </c>
      <c r="Z8" s="31" t="n">
        <f aca="false">Revenue!Z24</f>
        <v>1932567.33454365</v>
      </c>
      <c r="AA8" s="31" t="n">
        <f aca="false">Revenue!AA24</f>
        <v>1995209.9289584</v>
      </c>
      <c r="AB8" s="31" t="n">
        <f aca="false">Revenue!AB24</f>
        <v>162839167.353543</v>
      </c>
    </row>
    <row r="9" customFormat="false" ht="15" hidden="false" customHeight="false" outlineLevel="0" collapsed="false">
      <c r="B9" s="25" t="s">
        <v>205</v>
      </c>
      <c r="C9" s="8"/>
      <c r="D9" s="8"/>
      <c r="E9" s="8"/>
      <c r="F9" s="8"/>
      <c r="G9" s="8"/>
      <c r="H9" s="8"/>
      <c r="I9" s="8"/>
      <c r="J9" s="8"/>
      <c r="K9" s="8"/>
      <c r="L9" s="8"/>
      <c r="M9" s="8"/>
      <c r="N9" s="8"/>
      <c r="O9" s="8"/>
      <c r="P9" s="8"/>
      <c r="Q9" s="8"/>
      <c r="R9" s="8"/>
      <c r="S9" s="8"/>
      <c r="T9" s="8"/>
      <c r="U9" s="8"/>
      <c r="V9" s="8"/>
      <c r="W9" s="8"/>
      <c r="X9" s="8"/>
      <c r="Y9" s="8"/>
      <c r="Z9" s="8"/>
      <c r="AA9" s="8"/>
      <c r="AB9" s="8"/>
    </row>
    <row r="10" customFormat="false" ht="15" hidden="false" customHeight="false" outlineLevel="0" collapsed="false">
      <c r="B10" s="26" t="s">
        <v>186</v>
      </c>
      <c r="C10" s="21" t="n">
        <f aca="false">Costs!C8</f>
        <v>0</v>
      </c>
      <c r="D10" s="21" t="n">
        <f aca="false">Costs!D8</f>
        <v>1045500</v>
      </c>
      <c r="E10" s="21" t="n">
        <f aca="false">Costs!E8</f>
        <v>1071637.5</v>
      </c>
      <c r="F10" s="21" t="n">
        <f aca="false">Costs!F8</f>
        <v>1098428.4375</v>
      </c>
      <c r="G10" s="21" t="n">
        <f aca="false">Costs!G8</f>
        <v>1125889.1484375</v>
      </c>
      <c r="H10" s="21" t="n">
        <f aca="false">Costs!H8</f>
        <v>1154036.37714844</v>
      </c>
      <c r="I10" s="21" t="n">
        <f aca="false">Costs!I8</f>
        <v>1182887.28657715</v>
      </c>
      <c r="J10" s="21" t="n">
        <f aca="false">Costs!J8</f>
        <v>1212459.46874158</v>
      </c>
      <c r="K10" s="21" t="n">
        <f aca="false">Costs!K8</f>
        <v>1242770.95546012</v>
      </c>
      <c r="L10" s="21" t="n">
        <f aca="false">Costs!L8</f>
        <v>1273840.22934662</v>
      </c>
      <c r="M10" s="21" t="n">
        <f aca="false">Costs!M8</f>
        <v>1305686.23508028</v>
      </c>
      <c r="N10" s="21" t="n">
        <f aca="false">Costs!N8</f>
        <v>1338328.39095729</v>
      </c>
      <c r="O10" s="21" t="n">
        <f aca="false">Costs!O8</f>
        <v>1371786.60073122</v>
      </c>
      <c r="P10" s="21" t="n">
        <f aca="false">Costs!P8</f>
        <v>1406081.2657495</v>
      </c>
      <c r="Q10" s="21" t="n">
        <f aca="false">Costs!Q8</f>
        <v>1441233.29739324</v>
      </c>
      <c r="R10" s="21" t="n">
        <f aca="false">Costs!R8</f>
        <v>1477264.12982807</v>
      </c>
      <c r="S10" s="21" t="n">
        <f aca="false">Costs!S8</f>
        <v>1514195.73307377</v>
      </c>
      <c r="T10" s="21" t="n">
        <f aca="false">Costs!T8</f>
        <v>1552050.62640062</v>
      </c>
      <c r="U10" s="21" t="n">
        <f aca="false">Costs!U8</f>
        <v>1590851.89206063</v>
      </c>
      <c r="V10" s="21" t="n">
        <f aca="false">Costs!V8</f>
        <v>1630623.18936215</v>
      </c>
      <c r="W10" s="21" t="n">
        <f aca="false">Costs!W8</f>
        <v>1671388.7690962</v>
      </c>
      <c r="X10" s="21" t="n">
        <f aca="false">Costs!X8</f>
        <v>1713173.48832361</v>
      </c>
      <c r="Y10" s="21" t="n">
        <f aca="false">Costs!Y8</f>
        <v>1756002.8255317</v>
      </c>
      <c r="Z10" s="21" t="n">
        <f aca="false">Costs!Z8</f>
        <v>1799902.89616999</v>
      </c>
      <c r="AA10" s="21" t="n">
        <f aca="false">Costs!AA8</f>
        <v>1844900.46857424</v>
      </c>
      <c r="AB10" s="21" t="n">
        <f aca="false">Costs!AB8</f>
        <v>1891022.98028859</v>
      </c>
    </row>
    <row r="11" customFormat="false" ht="15" hidden="false" customHeight="false" outlineLevel="0" collapsed="false">
      <c r="B11" s="26" t="s">
        <v>187</v>
      </c>
      <c r="C11" s="21" t="n">
        <f aca="false">Costs!C9</f>
        <v>0</v>
      </c>
      <c r="D11" s="21" t="n">
        <f aca="false">Costs!D9</f>
        <v>153750</v>
      </c>
      <c r="E11" s="21" t="n">
        <f aca="false">Costs!E9</f>
        <v>157593.75</v>
      </c>
      <c r="F11" s="21" t="n">
        <f aca="false">Costs!F9</f>
        <v>161533.59375</v>
      </c>
      <c r="G11" s="21" t="n">
        <f aca="false">Costs!G9</f>
        <v>165571.93359375</v>
      </c>
      <c r="H11" s="21" t="n">
        <f aca="false">Costs!H9</f>
        <v>169711.231933594</v>
      </c>
      <c r="I11" s="21" t="n">
        <f aca="false">Costs!I9</f>
        <v>173954.012731934</v>
      </c>
      <c r="J11" s="21" t="n">
        <f aca="false">Costs!J9</f>
        <v>178302.863050232</v>
      </c>
      <c r="K11" s="21" t="n">
        <f aca="false">Costs!K9</f>
        <v>182760.434626488</v>
      </c>
      <c r="L11" s="21" t="n">
        <f aca="false">Costs!L9</f>
        <v>187329.44549215</v>
      </c>
      <c r="M11" s="21" t="n">
        <f aca="false">Costs!M9</f>
        <v>192012.681629454</v>
      </c>
      <c r="N11" s="21" t="n">
        <f aca="false">Costs!N9</f>
        <v>196812.99867019</v>
      </c>
      <c r="O11" s="21" t="n">
        <f aca="false">Costs!O9</f>
        <v>201733.323636945</v>
      </c>
      <c r="P11" s="21" t="n">
        <f aca="false">Costs!P9</f>
        <v>206776.656727868</v>
      </c>
      <c r="Q11" s="21" t="n">
        <f aca="false">Costs!Q9</f>
        <v>211946.073146065</v>
      </c>
      <c r="R11" s="21" t="n">
        <f aca="false">Costs!R9</f>
        <v>217244.724974716</v>
      </c>
      <c r="S11" s="21" t="n">
        <f aca="false">Costs!S9</f>
        <v>222675.843099084</v>
      </c>
      <c r="T11" s="21" t="n">
        <f aca="false">Costs!T9</f>
        <v>228242.739176561</v>
      </c>
      <c r="U11" s="21" t="n">
        <f aca="false">Costs!U9</f>
        <v>233948.807655975</v>
      </c>
      <c r="V11" s="21" t="n">
        <f aca="false">Costs!V9</f>
        <v>239797.527847375</v>
      </c>
      <c r="W11" s="21" t="n">
        <f aca="false">Costs!W9</f>
        <v>245792.466043559</v>
      </c>
      <c r="X11" s="21" t="n">
        <f aca="false">Costs!X9</f>
        <v>251937.277694648</v>
      </c>
      <c r="Y11" s="21" t="n">
        <f aca="false">Costs!Y9</f>
        <v>258235.709637014</v>
      </c>
      <c r="Z11" s="21" t="n">
        <f aca="false">Costs!Z9</f>
        <v>264691.60237794</v>
      </c>
      <c r="AA11" s="21" t="n">
        <f aca="false">Costs!AA9</f>
        <v>271308.892437388</v>
      </c>
      <c r="AB11" s="21" t="n">
        <f aca="false">Costs!AB9</f>
        <v>278091.614748323</v>
      </c>
    </row>
    <row r="12" customFormat="false" ht="15" hidden="false" customHeight="false" outlineLevel="0" collapsed="false">
      <c r="B12" s="26" t="s">
        <v>188</v>
      </c>
      <c r="C12" s="21" t="n">
        <f aca="false">Costs!C10</f>
        <v>0</v>
      </c>
      <c r="D12" s="21" t="n">
        <f aca="false">Costs!D10</f>
        <v>102500</v>
      </c>
      <c r="E12" s="21" t="n">
        <f aca="false">Costs!E10</f>
        <v>105062.5</v>
      </c>
      <c r="F12" s="21" t="n">
        <f aca="false">Costs!F10</f>
        <v>107689.0625</v>
      </c>
      <c r="G12" s="21" t="n">
        <f aca="false">Costs!G10</f>
        <v>110381.2890625</v>
      </c>
      <c r="H12" s="21" t="n">
        <f aca="false">Costs!H10</f>
        <v>113140.821289062</v>
      </c>
      <c r="I12" s="21" t="n">
        <f aca="false">Costs!I10</f>
        <v>115969.341821289</v>
      </c>
      <c r="J12" s="21" t="n">
        <f aca="false">Costs!J10</f>
        <v>118868.575366821</v>
      </c>
      <c r="K12" s="21" t="n">
        <f aca="false">Costs!K10</f>
        <v>121840.289750992</v>
      </c>
      <c r="L12" s="21" t="n">
        <f aca="false">Costs!L10</f>
        <v>124886.296994767</v>
      </c>
      <c r="M12" s="21" t="n">
        <f aca="false">Costs!M10</f>
        <v>128008.454419636</v>
      </c>
      <c r="N12" s="21" t="n">
        <f aca="false">Costs!N10</f>
        <v>131208.665780127</v>
      </c>
      <c r="O12" s="21" t="n">
        <f aca="false">Costs!O10</f>
        <v>134488.88242463</v>
      </c>
      <c r="P12" s="21" t="n">
        <f aca="false">Costs!P10</f>
        <v>137851.104485245</v>
      </c>
      <c r="Q12" s="21" t="n">
        <f aca="false">Costs!Q10</f>
        <v>141297.382097377</v>
      </c>
      <c r="R12" s="21" t="n">
        <f aca="false">Costs!R10</f>
        <v>144829.816649811</v>
      </c>
      <c r="S12" s="21" t="n">
        <f aca="false">Costs!S10</f>
        <v>148450.562066056</v>
      </c>
      <c r="T12" s="21" t="n">
        <f aca="false">Costs!T10</f>
        <v>152161.826117708</v>
      </c>
      <c r="U12" s="21" t="n">
        <f aca="false">Costs!U10</f>
        <v>155965.87177065</v>
      </c>
      <c r="V12" s="21" t="n">
        <f aca="false">Costs!V10</f>
        <v>159865.018564917</v>
      </c>
      <c r="W12" s="21" t="n">
        <f aca="false">Costs!W10</f>
        <v>163861.644029039</v>
      </c>
      <c r="X12" s="21" t="n">
        <f aca="false">Costs!X10</f>
        <v>167958.185129765</v>
      </c>
      <c r="Y12" s="21" t="n">
        <f aca="false">Costs!Y10</f>
        <v>172157.13975801</v>
      </c>
      <c r="Z12" s="21" t="n">
        <f aca="false">Costs!Z10</f>
        <v>176461.06825196</v>
      </c>
      <c r="AA12" s="21" t="n">
        <f aca="false">Costs!AA10</f>
        <v>180872.594958259</v>
      </c>
      <c r="AB12" s="21" t="n">
        <f aca="false">Costs!AB10</f>
        <v>185394.409832215</v>
      </c>
    </row>
    <row r="13" customFormat="false" ht="15" hidden="false" customHeight="false" outlineLevel="0" collapsed="false">
      <c r="B13" s="26" t="s">
        <v>189</v>
      </c>
      <c r="C13" s="21" t="n">
        <f aca="false">Costs!C11</f>
        <v>0</v>
      </c>
      <c r="D13" s="21" t="n">
        <f aca="false">Costs!D11</f>
        <v>82000</v>
      </c>
      <c r="E13" s="21" t="n">
        <f aca="false">Costs!E11</f>
        <v>84050</v>
      </c>
      <c r="F13" s="21" t="n">
        <f aca="false">Costs!F11</f>
        <v>86151.25</v>
      </c>
      <c r="G13" s="21" t="n">
        <f aca="false">Costs!G11</f>
        <v>88305.03125</v>
      </c>
      <c r="H13" s="21" t="n">
        <f aca="false">Costs!H11</f>
        <v>90512.65703125</v>
      </c>
      <c r="I13" s="21" t="n">
        <f aca="false">Costs!I11</f>
        <v>92775.4734570312</v>
      </c>
      <c r="J13" s="21" t="n">
        <f aca="false">Costs!J11</f>
        <v>95094.860293457</v>
      </c>
      <c r="K13" s="21" t="n">
        <f aca="false">Costs!K11</f>
        <v>97472.2318007934</v>
      </c>
      <c r="L13" s="21" t="n">
        <f aca="false">Costs!L11</f>
        <v>99909.0375958132</v>
      </c>
      <c r="M13" s="21" t="n">
        <f aca="false">Costs!M11</f>
        <v>102406.763535709</v>
      </c>
      <c r="N13" s="21" t="n">
        <f aca="false">Costs!N11</f>
        <v>104966.932624101</v>
      </c>
      <c r="O13" s="21" t="n">
        <f aca="false">Costs!O11</f>
        <v>107591.105939704</v>
      </c>
      <c r="P13" s="21" t="n">
        <f aca="false">Costs!P11</f>
        <v>110280.883588196</v>
      </c>
      <c r="Q13" s="21" t="n">
        <f aca="false">Costs!Q11</f>
        <v>113037.905677901</v>
      </c>
      <c r="R13" s="21" t="n">
        <f aca="false">Costs!R11</f>
        <v>115863.853319849</v>
      </c>
      <c r="S13" s="21" t="n">
        <f aca="false">Costs!S11</f>
        <v>118760.449652845</v>
      </c>
      <c r="T13" s="21" t="n">
        <f aca="false">Costs!T11</f>
        <v>121729.460894166</v>
      </c>
      <c r="U13" s="21" t="n">
        <f aca="false">Costs!U11</f>
        <v>124772.69741652</v>
      </c>
      <c r="V13" s="21" t="n">
        <f aca="false">Costs!V11</f>
        <v>127892.014851933</v>
      </c>
      <c r="W13" s="21" t="n">
        <f aca="false">Costs!W11</f>
        <v>131089.315223232</v>
      </c>
      <c r="X13" s="21" t="n">
        <f aca="false">Costs!X11</f>
        <v>134366.548103812</v>
      </c>
      <c r="Y13" s="21" t="n">
        <f aca="false">Costs!Y11</f>
        <v>137725.711806408</v>
      </c>
      <c r="Z13" s="21" t="n">
        <f aca="false">Costs!Z11</f>
        <v>141168.854601568</v>
      </c>
      <c r="AA13" s="21" t="n">
        <f aca="false">Costs!AA11</f>
        <v>144698.075966607</v>
      </c>
      <c r="AB13" s="21" t="n">
        <f aca="false">Costs!AB11</f>
        <v>148315.527865772</v>
      </c>
    </row>
    <row r="14" customFormat="false" ht="15" hidden="false" customHeight="false" outlineLevel="0" collapsed="false">
      <c r="B14" s="26" t="s">
        <v>190</v>
      </c>
      <c r="C14" s="21" t="n">
        <f aca="false">Costs!C12</f>
        <v>0</v>
      </c>
      <c r="D14" s="21" t="n">
        <f aca="false">Costs!D12</f>
        <v>51250</v>
      </c>
      <c r="E14" s="21" t="n">
        <f aca="false">Costs!E12</f>
        <v>52531.25</v>
      </c>
      <c r="F14" s="21" t="n">
        <f aca="false">Costs!F12</f>
        <v>53844.53125</v>
      </c>
      <c r="G14" s="21" t="n">
        <f aca="false">Costs!G12</f>
        <v>55190.64453125</v>
      </c>
      <c r="H14" s="21" t="n">
        <f aca="false">Costs!H12</f>
        <v>56570.4106445312</v>
      </c>
      <c r="I14" s="21" t="n">
        <f aca="false">Costs!I12</f>
        <v>57984.6709106445</v>
      </c>
      <c r="J14" s="21" t="n">
        <f aca="false">Costs!J12</f>
        <v>59434.2876834106</v>
      </c>
      <c r="K14" s="21" t="n">
        <f aca="false">Costs!K12</f>
        <v>60920.1448754959</v>
      </c>
      <c r="L14" s="21" t="n">
        <f aca="false">Costs!L12</f>
        <v>62443.1484973833</v>
      </c>
      <c r="M14" s="21" t="n">
        <f aca="false">Costs!M12</f>
        <v>64004.2272098178</v>
      </c>
      <c r="N14" s="21" t="n">
        <f aca="false">Costs!N12</f>
        <v>65604.3328900633</v>
      </c>
      <c r="O14" s="21" t="n">
        <f aca="false">Costs!O12</f>
        <v>67244.4412123149</v>
      </c>
      <c r="P14" s="21" t="n">
        <f aca="false">Costs!P12</f>
        <v>68925.5522426227</v>
      </c>
      <c r="Q14" s="21" t="n">
        <f aca="false">Costs!Q12</f>
        <v>70648.6910486883</v>
      </c>
      <c r="R14" s="21" t="n">
        <f aca="false">Costs!R12</f>
        <v>72414.9083249055</v>
      </c>
      <c r="S14" s="21" t="n">
        <f aca="false">Costs!S12</f>
        <v>74225.2810330281</v>
      </c>
      <c r="T14" s="21" t="n">
        <f aca="false">Costs!T12</f>
        <v>76080.9130588538</v>
      </c>
      <c r="U14" s="21" t="n">
        <f aca="false">Costs!U12</f>
        <v>77982.9358853252</v>
      </c>
      <c r="V14" s="21" t="n">
        <f aca="false">Costs!V12</f>
        <v>79932.5092824583</v>
      </c>
      <c r="W14" s="21" t="n">
        <f aca="false">Costs!W12</f>
        <v>81930.8220145197</v>
      </c>
      <c r="X14" s="21" t="n">
        <f aca="false">Costs!X12</f>
        <v>83979.0925648827</v>
      </c>
      <c r="Y14" s="21" t="n">
        <f aca="false">Costs!Y12</f>
        <v>86078.5698790048</v>
      </c>
      <c r="Z14" s="21" t="n">
        <f aca="false">Costs!Z12</f>
        <v>88230.5341259799</v>
      </c>
      <c r="AA14" s="21" t="n">
        <f aca="false">Costs!AA12</f>
        <v>90436.2974791294</v>
      </c>
      <c r="AB14" s="21" t="n">
        <f aca="false">Costs!AB12</f>
        <v>92697.2049161076</v>
      </c>
    </row>
    <row r="15" customFormat="false" ht="15" hidden="false" customHeight="false" outlineLevel="0" collapsed="false">
      <c r="B15" s="26" t="s">
        <v>191</v>
      </c>
      <c r="C15" s="21" t="n">
        <f aca="false">Costs!C13</f>
        <v>0</v>
      </c>
      <c r="D15" s="21" t="n">
        <f aca="false">Costs!D13</f>
        <v>25625</v>
      </c>
      <c r="E15" s="21" t="n">
        <f aca="false">Costs!E13</f>
        <v>26265.625</v>
      </c>
      <c r="F15" s="21" t="n">
        <f aca="false">Costs!F13</f>
        <v>26922.265625</v>
      </c>
      <c r="G15" s="21" t="n">
        <f aca="false">Costs!G13</f>
        <v>27595.322265625</v>
      </c>
      <c r="H15" s="21" t="n">
        <f aca="false">Costs!H13</f>
        <v>28285.2053222656</v>
      </c>
      <c r="I15" s="21" t="n">
        <f aca="false">Costs!I13</f>
        <v>28992.3354553223</v>
      </c>
      <c r="J15" s="21" t="n">
        <f aca="false">Costs!J13</f>
        <v>29717.1438417053</v>
      </c>
      <c r="K15" s="21" t="n">
        <f aca="false">Costs!K13</f>
        <v>30460.0724377479</v>
      </c>
      <c r="L15" s="21" t="n">
        <f aca="false">Costs!L13</f>
        <v>31221.5742486916</v>
      </c>
      <c r="M15" s="21" t="n">
        <f aca="false">Costs!M13</f>
        <v>32002.1136049089</v>
      </c>
      <c r="N15" s="21" t="n">
        <f aca="false">Costs!N13</f>
        <v>32802.1664450316</v>
      </c>
      <c r="O15" s="21" t="n">
        <f aca="false">Costs!O13</f>
        <v>33622.2206061574</v>
      </c>
      <c r="P15" s="21" t="n">
        <f aca="false">Costs!P13</f>
        <v>34462.7761213114</v>
      </c>
      <c r="Q15" s="21" t="n">
        <f aca="false">Costs!Q13</f>
        <v>35324.3455243441</v>
      </c>
      <c r="R15" s="21" t="n">
        <f aca="false">Costs!R13</f>
        <v>36207.4541624527</v>
      </c>
      <c r="S15" s="21" t="n">
        <f aca="false">Costs!S13</f>
        <v>37112.6405165141</v>
      </c>
      <c r="T15" s="21" t="n">
        <f aca="false">Costs!T13</f>
        <v>38040.4565294269</v>
      </c>
      <c r="U15" s="21" t="n">
        <f aca="false">Costs!U13</f>
        <v>38991.4679426626</v>
      </c>
      <c r="V15" s="21" t="n">
        <f aca="false">Costs!V13</f>
        <v>39966.2546412291</v>
      </c>
      <c r="W15" s="21" t="n">
        <f aca="false">Costs!W13</f>
        <v>40965.4110072599</v>
      </c>
      <c r="X15" s="21" t="n">
        <f aca="false">Costs!X13</f>
        <v>41989.5462824414</v>
      </c>
      <c r="Y15" s="21" t="n">
        <f aca="false">Costs!Y13</f>
        <v>43039.2849395024</v>
      </c>
      <c r="Z15" s="21" t="n">
        <f aca="false">Costs!Z13</f>
        <v>44115.2670629899</v>
      </c>
      <c r="AA15" s="21" t="n">
        <f aca="false">Costs!AA13</f>
        <v>45218.1487395647</v>
      </c>
      <c r="AB15" s="21" t="n">
        <f aca="false">Costs!AB13</f>
        <v>46348.6024580538</v>
      </c>
    </row>
    <row r="16" customFormat="false" ht="15" hidden="false" customHeight="false" outlineLevel="0" collapsed="false">
      <c r="B16" s="26" t="s">
        <v>206</v>
      </c>
      <c r="C16" s="27" t="n">
        <f aca="false">Costs!C15</f>
        <v>0</v>
      </c>
      <c r="D16" s="27" t="n">
        <f aca="false">Costs!D15</f>
        <v>1460625</v>
      </c>
      <c r="E16" s="27" t="n">
        <f aca="false">Costs!E15</f>
        <v>1497140.625</v>
      </c>
      <c r="F16" s="27" t="n">
        <f aca="false">Costs!F15</f>
        <v>1534569.140625</v>
      </c>
      <c r="G16" s="27" t="n">
        <f aca="false">Costs!G15</f>
        <v>1572933.36914062</v>
      </c>
      <c r="H16" s="27" t="n">
        <f aca="false">Costs!H15</f>
        <v>1612256.70336914</v>
      </c>
      <c r="I16" s="27" t="n">
        <f aca="false">Costs!I15</f>
        <v>1652563.12095337</v>
      </c>
      <c r="J16" s="27" t="n">
        <f aca="false">Costs!J15</f>
        <v>1693877.1989772</v>
      </c>
      <c r="K16" s="27" t="n">
        <f aca="false">Costs!K15</f>
        <v>1736224.12895163</v>
      </c>
      <c r="L16" s="27" t="n">
        <f aca="false">Costs!L15</f>
        <v>1779629.73217542</v>
      </c>
      <c r="M16" s="27" t="n">
        <f aca="false">Costs!M15</f>
        <v>1824120.47547981</v>
      </c>
      <c r="N16" s="27" t="n">
        <f aca="false">Costs!N15</f>
        <v>1869723.4873668</v>
      </c>
      <c r="O16" s="27" t="n">
        <f aca="false">Costs!O15</f>
        <v>1916466.57455097</v>
      </c>
      <c r="P16" s="27" t="n">
        <f aca="false">Costs!P15</f>
        <v>1964378.23891475</v>
      </c>
      <c r="Q16" s="27" t="n">
        <f aca="false">Costs!Q15</f>
        <v>2013487.69488762</v>
      </c>
      <c r="R16" s="27" t="n">
        <f aca="false">Costs!R15</f>
        <v>2063824.88725981</v>
      </c>
      <c r="S16" s="27" t="n">
        <f aca="false">Costs!S15</f>
        <v>2115420.5094413</v>
      </c>
      <c r="T16" s="27" t="n">
        <f aca="false">Costs!T15</f>
        <v>2168306.02217733</v>
      </c>
      <c r="U16" s="27" t="n">
        <f aca="false">Costs!U15</f>
        <v>2222513.67273177</v>
      </c>
      <c r="V16" s="27" t="n">
        <f aca="false">Costs!V15</f>
        <v>2278076.51455006</v>
      </c>
      <c r="W16" s="27" t="n">
        <f aca="false">Costs!W15</f>
        <v>2335028.42741381</v>
      </c>
      <c r="X16" s="27" t="n">
        <f aca="false">Costs!X15</f>
        <v>2393404.13809916</v>
      </c>
      <c r="Y16" s="27" t="n">
        <f aca="false">Costs!Y15</f>
        <v>2453239.24155164</v>
      </c>
      <c r="Z16" s="27" t="n">
        <f aca="false">Costs!Z15</f>
        <v>2514570.22259043</v>
      </c>
      <c r="AA16" s="27" t="n">
        <f aca="false">Costs!AA15</f>
        <v>2577434.47815519</v>
      </c>
      <c r="AB16" s="27" t="n">
        <f aca="false">Costs!AB15</f>
        <v>2641870.34010907</v>
      </c>
    </row>
    <row r="17" customFormat="false" ht="15" hidden="false" customHeight="false" outlineLevel="0" collapsed="false">
      <c r="B17" s="25" t="s">
        <v>207</v>
      </c>
      <c r="C17" s="8"/>
      <c r="D17" s="8"/>
      <c r="E17" s="8"/>
      <c r="F17" s="8"/>
      <c r="G17" s="8"/>
      <c r="H17" s="8"/>
      <c r="I17" s="8"/>
      <c r="J17" s="8"/>
      <c r="K17" s="8"/>
      <c r="L17" s="8"/>
      <c r="M17" s="8"/>
      <c r="N17" s="8"/>
      <c r="O17" s="8"/>
      <c r="P17" s="8"/>
      <c r="Q17" s="8"/>
      <c r="R17" s="8"/>
      <c r="S17" s="8"/>
      <c r="T17" s="8"/>
      <c r="U17" s="8"/>
      <c r="V17" s="8"/>
      <c r="W17" s="8"/>
      <c r="X17" s="8"/>
      <c r="Y17" s="8"/>
      <c r="Z17" s="8"/>
      <c r="AA17" s="8"/>
      <c r="AB17" s="8"/>
    </row>
    <row r="18" customFormat="false" ht="15" hidden="false" customHeight="false" outlineLevel="0" collapsed="false">
      <c r="B18" s="26" t="s">
        <v>207</v>
      </c>
      <c r="C18" s="31" t="n">
        <f aca="false">C8-C16</f>
        <v>0</v>
      </c>
      <c r="D18" s="31" t="n">
        <f aca="false">D8-D16</f>
        <v>-1135475</v>
      </c>
      <c r="E18" s="31" t="n">
        <f aca="false">E8-E16</f>
        <v>-1157168.125</v>
      </c>
      <c r="F18" s="31" t="n">
        <f aca="false">F8-F16</f>
        <v>-1179068.890625</v>
      </c>
      <c r="G18" s="31" t="n">
        <f aca="false">G8-G16</f>
        <v>-1201165.75351562</v>
      </c>
      <c r="H18" s="31" t="n">
        <f aca="false">H8-H16</f>
        <v>-487921.214927965</v>
      </c>
      <c r="I18" s="31" t="n">
        <f aca="false">I8-I16</f>
        <v>-495660.574490635</v>
      </c>
      <c r="J18" s="31" t="n">
        <f aca="false">J8-J16</f>
        <v>-503260.155777334</v>
      </c>
      <c r="K18" s="31" t="n">
        <f aca="false">K8-K16</f>
        <v>-510697.594643419</v>
      </c>
      <c r="L18" s="31" t="n">
        <f aca="false">L8-L16</f>
        <v>-517948.980224756</v>
      </c>
      <c r="M18" s="31" t="n">
        <f aca="false">M8-M16</f>
        <v>-524988.766006307</v>
      </c>
      <c r="N18" s="31" t="n">
        <f aca="false">N8-N16</f>
        <v>-531789.67613661</v>
      </c>
      <c r="O18" s="31" t="n">
        <f aca="false">O8-O16</f>
        <v>-538322.606742402</v>
      </c>
      <c r="P18" s="31" t="n">
        <f aca="false">P8-P16</f>
        <v>-544556.521985146</v>
      </c>
      <c r="Q18" s="31" t="n">
        <f aca="false">Q8-Q16</f>
        <v>-550458.344588091</v>
      </c>
      <c r="R18" s="31" t="n">
        <f aca="false">R8-R16</f>
        <v>-555992.840548707</v>
      </c>
      <c r="S18" s="31" t="n">
        <f aca="false">S8-S16</f>
        <v>-561122.497736864</v>
      </c>
      <c r="T18" s="31" t="n">
        <f aca="false">T8-T16</f>
        <v>-565807.3980639</v>
      </c>
      <c r="U18" s="31" t="n">
        <f aca="false">U8-U16</f>
        <v>-570005.082891757</v>
      </c>
      <c r="V18" s="31" t="n">
        <f aca="false">V8-V16</f>
        <v>-573670.411334556</v>
      </c>
      <c r="W18" s="31" t="n">
        <f aca="false">W8-W16</f>
        <v>-576755.411087392</v>
      </c>
      <c r="X18" s="31" t="n">
        <f aca="false">X8-X16</f>
        <v>-579209.121398573</v>
      </c>
      <c r="Y18" s="31" t="n">
        <f aca="false">Y8-Y16</f>
        <v>-580977.427782104</v>
      </c>
      <c r="Z18" s="31" t="n">
        <f aca="false">Z8-Z16</f>
        <v>-582002.888046779</v>
      </c>
      <c r="AA18" s="31" t="n">
        <f aca="false">AA8-AA16</f>
        <v>-582224.54919679</v>
      </c>
      <c r="AB18" s="31" t="n">
        <f aca="false">AB8-AB16</f>
        <v>160197297.013434</v>
      </c>
    </row>
    <row r="19" customFormat="false" ht="15" hidden="false" customHeight="false" outlineLevel="0" collapsed="false">
      <c r="B19" s="26" t="s">
        <v>208</v>
      </c>
      <c r="C19" s="32" t="n">
        <f aca="false">IF(C8&gt;0,C18/C8,0)</f>
        <v>0</v>
      </c>
      <c r="D19" s="32" t="n">
        <f aca="false">IF(D8&gt;0,D18/D8,0)</f>
        <v>-3.49215746578502</v>
      </c>
      <c r="E19" s="32" t="n">
        <f aca="false">IF(E8&gt;0,E18/E8,0)</f>
        <v>-3.40371096191604</v>
      </c>
      <c r="F19" s="32" t="n">
        <f aca="false">IF(F8&gt;0,F18/F8,0)</f>
        <v>-3.31664714898231</v>
      </c>
      <c r="G19" s="32" t="n">
        <f aca="false">IF(G8&gt;0,G18/G8,0)</f>
        <v>-3.2309585424655</v>
      </c>
      <c r="H19" s="32" t="n">
        <f aca="false">IF(H8&gt;0,H18/H8,0)</f>
        <v>-0.433964079177505</v>
      </c>
      <c r="I19" s="32" t="n">
        <f aca="false">IF(I8&gt;0,I18/I8,0)</f>
        <v>-0.428437620788487</v>
      </c>
      <c r="J19" s="32" t="n">
        <f aca="false">IF(J8&gt;0,J18/J8,0)</f>
        <v>-0.42268851991635</v>
      </c>
      <c r="K19" s="32" t="n">
        <f aca="false">IF(K8&gt;0,K18/K8,0)</f>
        <v>-0.416716880741956</v>
      </c>
      <c r="L19" s="32" t="n">
        <f aca="false">IF(L8&gt;0,L18/L8,0)</f>
        <v>-0.410523010217888</v>
      </c>
      <c r="M19" s="32" t="n">
        <f aca="false">IF(M8&gt;0,M18/M8,0)</f>
        <v>-0.404107422040425</v>
      </c>
      <c r="N19" s="32" t="n">
        <f aca="false">IF(N8&gt;0,N18/N8,0)</f>
        <v>-0.397470840241076</v>
      </c>
      <c r="O19" s="32" t="n">
        <f aca="false">IF(O8&gt;0,O18/O8,0)</f>
        <v>-0.39061420237423</v>
      </c>
      <c r="P19" s="32" t="n">
        <f aca="false">IF(P8&gt;0,P18/P8,0)</f>
        <v>-0.383538662278502</v>
      </c>
      <c r="Q19" s="32" t="n">
        <f aca="false">IF(Q8&gt;0,Q18/Q8,0)</f>
        <v>-0.376245592390471</v>
      </c>
      <c r="R19" s="32" t="n">
        <f aca="false">IF(R8&gt;0,R18/R8,0)</f>
        <v>-0.368736585590845</v>
      </c>
      <c r="S19" s="32" t="n">
        <f aca="false">IF(S8&gt;0,S18/S8,0)</f>
        <v>-0.361013456564574</v>
      </c>
      <c r="T19" s="32" t="n">
        <f aca="false">IF(T8&gt;0,T18/T8,0)</f>
        <v>-0.353078242658041</v>
      </c>
      <c r="U19" s="32" t="n">
        <f aca="false">IF(U8&gt;0,U18/U8,0)</f>
        <v>-0.344933204218287</v>
      </c>
      <c r="V19" s="32" t="n">
        <f aca="false">IF(V8&gt;0,V18/V8,0)</f>
        <v>-0.336580824401109</v>
      </c>
      <c r="W19" s="32" t="n">
        <f aca="false">IF(W8&gt;0,W18/W8,0)</f>
        <v>-0.328023808436993</v>
      </c>
      <c r="X19" s="32" t="n">
        <f aca="false">IF(X8&gt;0,X18/X8,0)</f>
        <v>-0.319265082345977</v>
      </c>
      <c r="Y19" s="32" t="n">
        <f aca="false">IF(Y8&gt;0,Y18/Y8,0)</f>
        <v>-0.310307791094873</v>
      </c>
      <c r="Z19" s="32" t="n">
        <f aca="false">IF(Z8&gt;0,Z18/Z8,0)</f>
        <v>-0.301155296192675</v>
      </c>
      <c r="AA19" s="32" t="n">
        <f aca="false">IF(AA8&gt;0,AA18/AA8,0)</f>
        <v>-0.291811172722432</v>
      </c>
      <c r="AB19" s="32" t="n">
        <f aca="false">IF(AB8&gt;0,AB18/AB8,0)</f>
        <v>0.983776198422992</v>
      </c>
    </row>
    <row r="20" customFormat="false" ht="15" hidden="false" customHeight="false" outlineLevel="0" collapsed="false">
      <c r="B20" s="25" t="s">
        <v>209</v>
      </c>
      <c r="C20" s="8"/>
      <c r="D20" s="8"/>
      <c r="E20" s="8"/>
      <c r="F20" s="8"/>
      <c r="G20" s="8"/>
      <c r="H20" s="8"/>
      <c r="I20" s="8"/>
      <c r="J20" s="8"/>
      <c r="K20" s="8"/>
      <c r="L20" s="8"/>
      <c r="M20" s="8"/>
      <c r="N20" s="8"/>
      <c r="O20" s="8"/>
      <c r="P20" s="8"/>
      <c r="Q20" s="8"/>
      <c r="R20" s="8"/>
      <c r="S20" s="8"/>
      <c r="T20" s="8"/>
      <c r="U20" s="8"/>
      <c r="V20" s="8"/>
      <c r="W20" s="8"/>
      <c r="X20" s="8"/>
      <c r="Y20" s="8"/>
      <c r="Z20" s="8"/>
      <c r="AA20" s="8"/>
      <c r="AB20" s="8"/>
    </row>
    <row r="21" customFormat="false" ht="15" hidden="false" customHeight="false" outlineLevel="0" collapsed="false">
      <c r="B21" s="26" t="s">
        <v>210</v>
      </c>
      <c r="C21" s="21" t="n">
        <f aca="false">0</f>
        <v>0</v>
      </c>
      <c r="D21" s="21" t="n">
        <f aca="false">0</f>
        <v>0</v>
      </c>
      <c r="E21" s="21" t="n">
        <f aca="false">0</f>
        <v>0</v>
      </c>
      <c r="F21" s="21" t="n">
        <f aca="false">0</f>
        <v>0</v>
      </c>
      <c r="G21" s="21" t="n">
        <f aca="false">0</f>
        <v>0</v>
      </c>
      <c r="H21" s="21" t="n">
        <f aca="false">0</f>
        <v>0</v>
      </c>
      <c r="I21" s="21" t="n">
        <f aca="false">0</f>
        <v>0</v>
      </c>
      <c r="J21" s="21" t="n">
        <f aca="false">0</f>
        <v>0</v>
      </c>
      <c r="K21" s="21" t="n">
        <f aca="false">0</f>
        <v>0</v>
      </c>
      <c r="L21" s="21" t="n">
        <f aca="false">0</f>
        <v>0</v>
      </c>
      <c r="M21" s="21" t="n">
        <f aca="false">0</f>
        <v>0</v>
      </c>
      <c r="N21" s="21" t="n">
        <f aca="false">0</f>
        <v>0</v>
      </c>
      <c r="O21" s="21" t="n">
        <f aca="false">0</f>
        <v>0</v>
      </c>
      <c r="P21" s="21" t="n">
        <f aca="false">0</f>
        <v>0</v>
      </c>
      <c r="Q21" s="21" t="n">
        <f aca="false">0</f>
        <v>0</v>
      </c>
      <c r="R21" s="21" t="n">
        <f aca="false">0</f>
        <v>0</v>
      </c>
      <c r="S21" s="21" t="n">
        <f aca="false">0</f>
        <v>0</v>
      </c>
      <c r="T21" s="21" t="n">
        <f aca="false">0</f>
        <v>0</v>
      </c>
      <c r="U21" s="21" t="n">
        <f aca="false">0</f>
        <v>0</v>
      </c>
      <c r="V21" s="21" t="n">
        <f aca="false">0</f>
        <v>0</v>
      </c>
      <c r="W21" s="21" t="n">
        <f aca="false">0</f>
        <v>0</v>
      </c>
      <c r="X21" s="21" t="n">
        <f aca="false">0</f>
        <v>0</v>
      </c>
      <c r="Y21" s="21" t="n">
        <f aca="false">0</f>
        <v>0</v>
      </c>
      <c r="Z21" s="21" t="n">
        <f aca="false">0</f>
        <v>0</v>
      </c>
      <c r="AA21" s="21" t="n">
        <f aca="false">0</f>
        <v>0</v>
      </c>
      <c r="AB21" s="21" t="n">
        <f aca="false">0</f>
        <v>0</v>
      </c>
    </row>
    <row r="22" customFormat="false" ht="15" hidden="false" customHeight="false" outlineLevel="0" collapsed="false">
      <c r="B22" s="25" t="s">
        <v>211</v>
      </c>
      <c r="C22" s="8"/>
      <c r="D22" s="8"/>
      <c r="E22" s="8"/>
      <c r="F22" s="8"/>
      <c r="G22" s="8"/>
      <c r="H22" s="8"/>
      <c r="I22" s="8"/>
      <c r="J22" s="8"/>
      <c r="K22" s="8"/>
      <c r="L22" s="8"/>
      <c r="M22" s="8"/>
      <c r="N22" s="8"/>
      <c r="O22" s="8"/>
      <c r="P22" s="8"/>
      <c r="Q22" s="8"/>
      <c r="R22" s="8"/>
      <c r="S22" s="8"/>
      <c r="T22" s="8"/>
      <c r="U22" s="8"/>
      <c r="V22" s="8"/>
      <c r="W22" s="8"/>
      <c r="X22" s="8"/>
      <c r="Y22" s="8"/>
      <c r="Z22" s="8"/>
      <c r="AA22" s="8"/>
      <c r="AB22" s="8"/>
    </row>
    <row r="23" customFormat="false" ht="15" hidden="false" customHeight="false" outlineLevel="0" collapsed="false">
      <c r="B23" s="26" t="s">
        <v>211</v>
      </c>
      <c r="C23" s="31" t="n">
        <f aca="false">C18-C21</f>
        <v>0</v>
      </c>
      <c r="D23" s="31" t="n">
        <f aca="false">D18-D21</f>
        <v>-1135475</v>
      </c>
      <c r="E23" s="31" t="n">
        <f aca="false">E18-E21</f>
        <v>-1157168.125</v>
      </c>
      <c r="F23" s="31" t="n">
        <f aca="false">F18-F21</f>
        <v>-1179068.890625</v>
      </c>
      <c r="G23" s="31" t="n">
        <f aca="false">G18-G21</f>
        <v>-1201165.75351562</v>
      </c>
      <c r="H23" s="31" t="n">
        <f aca="false">H18-H21</f>
        <v>-487921.214927965</v>
      </c>
      <c r="I23" s="31" t="n">
        <f aca="false">I18-I21</f>
        <v>-495660.574490635</v>
      </c>
      <c r="J23" s="31" t="n">
        <f aca="false">J18-J21</f>
        <v>-503260.155777334</v>
      </c>
      <c r="K23" s="31" t="n">
        <f aca="false">K18-K21</f>
        <v>-510697.594643419</v>
      </c>
      <c r="L23" s="31" t="n">
        <f aca="false">L18-L21</f>
        <v>-517948.980224756</v>
      </c>
      <c r="M23" s="31" t="n">
        <f aca="false">M18-M21</f>
        <v>-524988.766006307</v>
      </c>
      <c r="N23" s="31" t="n">
        <f aca="false">N18-N21</f>
        <v>-531789.67613661</v>
      </c>
      <c r="O23" s="31" t="n">
        <f aca="false">O18-O21</f>
        <v>-538322.606742402</v>
      </c>
      <c r="P23" s="31" t="n">
        <f aca="false">P18-P21</f>
        <v>-544556.521985146</v>
      </c>
      <c r="Q23" s="31" t="n">
        <f aca="false">Q18-Q21</f>
        <v>-550458.344588091</v>
      </c>
      <c r="R23" s="31" t="n">
        <f aca="false">R18-R21</f>
        <v>-555992.840548707</v>
      </c>
      <c r="S23" s="31" t="n">
        <f aca="false">S18-S21</f>
        <v>-561122.497736864</v>
      </c>
      <c r="T23" s="31" t="n">
        <f aca="false">T18-T21</f>
        <v>-565807.3980639</v>
      </c>
      <c r="U23" s="31" t="n">
        <f aca="false">U18-U21</f>
        <v>-570005.082891757</v>
      </c>
      <c r="V23" s="31" t="n">
        <f aca="false">V18-V21</f>
        <v>-573670.411334556</v>
      </c>
      <c r="W23" s="31" t="n">
        <f aca="false">W18-W21</f>
        <v>-576755.411087392</v>
      </c>
      <c r="X23" s="31" t="n">
        <f aca="false">X18-X21</f>
        <v>-579209.121398573</v>
      </c>
      <c r="Y23" s="31" t="n">
        <f aca="false">Y18-Y21</f>
        <v>-580977.427782104</v>
      </c>
      <c r="Z23" s="31" t="n">
        <f aca="false">Z18-Z21</f>
        <v>-582002.888046779</v>
      </c>
      <c r="AA23" s="31" t="n">
        <f aca="false">AA18-AA21</f>
        <v>-582224.54919679</v>
      </c>
      <c r="AB23" s="31" t="n">
        <f aca="false">AB18-AB21</f>
        <v>160197297.013434</v>
      </c>
    </row>
    <row r="24" customFormat="false" ht="15" hidden="false" customHeight="false" outlineLevel="0" collapsed="false">
      <c r="B24" s="25" t="s">
        <v>212</v>
      </c>
      <c r="C24" s="8"/>
      <c r="D24" s="8"/>
      <c r="E24" s="8"/>
      <c r="F24" s="8"/>
      <c r="G24" s="8"/>
      <c r="H24" s="8"/>
      <c r="I24" s="8"/>
      <c r="J24" s="8"/>
      <c r="K24" s="8"/>
      <c r="L24" s="8"/>
      <c r="M24" s="8"/>
      <c r="N24" s="8"/>
      <c r="O24" s="8"/>
      <c r="P24" s="8"/>
      <c r="Q24" s="8"/>
      <c r="R24" s="8"/>
      <c r="S24" s="8"/>
      <c r="T24" s="8"/>
      <c r="U24" s="8"/>
      <c r="V24" s="8"/>
      <c r="W24" s="8"/>
      <c r="X24" s="8"/>
      <c r="Y24" s="8"/>
      <c r="Z24" s="8"/>
      <c r="AA24" s="8"/>
      <c r="AB24" s="8"/>
    </row>
    <row r="25" customFormat="false" ht="15" hidden="false" customHeight="false" outlineLevel="0" collapsed="false">
      <c r="B25" s="26" t="s">
        <v>198</v>
      </c>
      <c r="C25" s="21" t="n">
        <f aca="false">Debt_Schedule!C10</f>
        <v>0</v>
      </c>
      <c r="D25" s="21" t="n">
        <f aca="false">Debt_Schedule!D10</f>
        <v>980200</v>
      </c>
      <c r="E25" s="21" t="n">
        <f aca="false">Debt_Schedule!E10</f>
        <v>980200</v>
      </c>
      <c r="F25" s="21" t="n">
        <f aca="false">Debt_Schedule!F10</f>
        <v>980200</v>
      </c>
      <c r="G25" s="21" t="n">
        <f aca="false">Debt_Schedule!G10</f>
        <v>980200</v>
      </c>
      <c r="H25" s="21" t="n">
        <f aca="false">Debt_Schedule!H10</f>
        <v>980200</v>
      </c>
      <c r="I25" s="21" t="n">
        <f aca="false">Debt_Schedule!I10</f>
        <v>980200</v>
      </c>
      <c r="J25" s="21" t="n">
        <f aca="false">Debt_Schedule!J10</f>
        <v>980200</v>
      </c>
      <c r="K25" s="21" t="n">
        <f aca="false">Debt_Schedule!K10</f>
        <v>980200</v>
      </c>
      <c r="L25" s="21" t="n">
        <f aca="false">Debt_Schedule!L10</f>
        <v>980200</v>
      </c>
      <c r="M25" s="21" t="n">
        <f aca="false">Debt_Schedule!M10</f>
        <v>980200</v>
      </c>
      <c r="N25" s="21" t="n">
        <f aca="false">Debt_Schedule!N10</f>
        <v>980200</v>
      </c>
      <c r="O25" s="21" t="n">
        <f aca="false">Debt_Schedule!O10</f>
        <v>980200</v>
      </c>
      <c r="P25" s="21" t="n">
        <f aca="false">Debt_Schedule!P10</f>
        <v>980200</v>
      </c>
      <c r="Q25" s="21" t="n">
        <f aca="false">Debt_Schedule!Q10</f>
        <v>980200</v>
      </c>
      <c r="R25" s="21" t="n">
        <f aca="false">Debt_Schedule!R10</f>
        <v>980200</v>
      </c>
      <c r="S25" s="21" t="n">
        <f aca="false">Debt_Schedule!S10</f>
        <v>980200</v>
      </c>
      <c r="T25" s="21" t="n">
        <f aca="false">Debt_Schedule!T10</f>
        <v>980200</v>
      </c>
      <c r="U25" s="21" t="n">
        <f aca="false">Debt_Schedule!U10</f>
        <v>980200</v>
      </c>
      <c r="V25" s="21" t="n">
        <f aca="false">Debt_Schedule!V10</f>
        <v>980200</v>
      </c>
      <c r="W25" s="21" t="n">
        <f aca="false">Debt_Schedule!W10</f>
        <v>980200</v>
      </c>
      <c r="X25" s="21" t="n">
        <f aca="false">Debt_Schedule!X10</f>
        <v>980200</v>
      </c>
      <c r="Y25" s="21" t="n">
        <f aca="false">Debt_Schedule!Y10</f>
        <v>980200</v>
      </c>
      <c r="Z25" s="21" t="n">
        <f aca="false">Debt_Schedule!Z10</f>
        <v>980200</v>
      </c>
      <c r="AA25" s="21" t="n">
        <f aca="false">Debt_Schedule!AA10</f>
        <v>980200</v>
      </c>
      <c r="AB25" s="21" t="n">
        <f aca="false">Debt_Schedule!AB10</f>
        <v>980200</v>
      </c>
    </row>
    <row r="26" customFormat="false" ht="15" hidden="false" customHeight="false" outlineLevel="0" collapsed="false">
      <c r="B26" s="25" t="s">
        <v>213</v>
      </c>
      <c r="C26" s="8"/>
      <c r="D26" s="8"/>
      <c r="E26" s="8"/>
      <c r="F26" s="8"/>
      <c r="G26" s="8"/>
      <c r="H26" s="8"/>
      <c r="I26" s="8"/>
      <c r="J26" s="8"/>
      <c r="K26" s="8"/>
      <c r="L26" s="8"/>
      <c r="M26" s="8"/>
      <c r="N26" s="8"/>
      <c r="O26" s="8"/>
      <c r="P26" s="8"/>
      <c r="Q26" s="8"/>
      <c r="R26" s="8"/>
      <c r="S26" s="8"/>
      <c r="T26" s="8"/>
      <c r="U26" s="8"/>
      <c r="V26" s="8"/>
      <c r="W26" s="8"/>
      <c r="X26" s="8"/>
      <c r="Y26" s="8"/>
      <c r="Z26" s="8"/>
      <c r="AA26" s="8"/>
      <c r="AB26" s="8"/>
    </row>
    <row r="27" customFormat="false" ht="15" hidden="false" customHeight="false" outlineLevel="0" collapsed="false">
      <c r="B27" s="26" t="s">
        <v>213</v>
      </c>
      <c r="C27" s="31" t="n">
        <f aca="false">C23-C25</f>
        <v>0</v>
      </c>
      <c r="D27" s="31" t="n">
        <f aca="false">D23-D25</f>
        <v>-2115675</v>
      </c>
      <c r="E27" s="31" t="n">
        <f aca="false">E23-E25</f>
        <v>-2137368.125</v>
      </c>
      <c r="F27" s="31" t="n">
        <f aca="false">F23-F25</f>
        <v>-2159268.890625</v>
      </c>
      <c r="G27" s="31" t="n">
        <f aca="false">G23-G25</f>
        <v>-2181365.75351562</v>
      </c>
      <c r="H27" s="31" t="n">
        <f aca="false">H23-H25</f>
        <v>-1468121.21492796</v>
      </c>
      <c r="I27" s="31" t="n">
        <f aca="false">I23-I25</f>
        <v>-1475860.57449064</v>
      </c>
      <c r="J27" s="31" t="n">
        <f aca="false">J23-J25</f>
        <v>-1483460.15577733</v>
      </c>
      <c r="K27" s="31" t="n">
        <f aca="false">K23-K25</f>
        <v>-1490897.59464342</v>
      </c>
      <c r="L27" s="31" t="n">
        <f aca="false">L23-L25</f>
        <v>-1498148.98022476</v>
      </c>
      <c r="M27" s="31" t="n">
        <f aca="false">M23-M25</f>
        <v>-1505188.76600631</v>
      </c>
      <c r="N27" s="31" t="n">
        <f aca="false">N23-N25</f>
        <v>-1511989.67613661</v>
      </c>
      <c r="O27" s="31" t="n">
        <f aca="false">O23-O25</f>
        <v>-1518522.6067424</v>
      </c>
      <c r="P27" s="31" t="n">
        <f aca="false">P23-P25</f>
        <v>-1524756.52198515</v>
      </c>
      <c r="Q27" s="31" t="n">
        <f aca="false">Q23-Q25</f>
        <v>-1530658.34458809</v>
      </c>
      <c r="R27" s="31" t="n">
        <f aca="false">R23-R25</f>
        <v>-1536192.84054871</v>
      </c>
      <c r="S27" s="31" t="n">
        <f aca="false">S23-S25</f>
        <v>-1541322.49773686</v>
      </c>
      <c r="T27" s="31" t="n">
        <f aca="false">T23-T25</f>
        <v>-1546007.3980639</v>
      </c>
      <c r="U27" s="31" t="n">
        <f aca="false">U23-U25</f>
        <v>-1550205.08289176</v>
      </c>
      <c r="V27" s="31" t="n">
        <f aca="false">V23-V25</f>
        <v>-1553870.41133456</v>
      </c>
      <c r="W27" s="31" t="n">
        <f aca="false">W23-W25</f>
        <v>-1556955.41108739</v>
      </c>
      <c r="X27" s="31" t="n">
        <f aca="false">X23-X25</f>
        <v>-1559409.12139857</v>
      </c>
      <c r="Y27" s="31" t="n">
        <f aca="false">Y23-Y25</f>
        <v>-1561177.4277821</v>
      </c>
      <c r="Z27" s="31" t="n">
        <f aca="false">Z23-Z25</f>
        <v>-1562202.88804678</v>
      </c>
      <c r="AA27" s="31" t="n">
        <f aca="false">AA23-AA25</f>
        <v>-1562424.54919679</v>
      </c>
      <c r="AB27" s="31" t="n">
        <f aca="false">AB23-AB25</f>
        <v>159217097.013434</v>
      </c>
    </row>
    <row r="28" customFormat="false" ht="15" hidden="false" customHeight="false" outlineLevel="0" collapsed="false">
      <c r="B28" s="25" t="s">
        <v>214</v>
      </c>
      <c r="C28" s="8"/>
      <c r="D28" s="8"/>
      <c r="E28" s="8"/>
      <c r="F28" s="8"/>
      <c r="G28" s="8"/>
      <c r="H28" s="8"/>
      <c r="I28" s="8"/>
      <c r="J28" s="8"/>
      <c r="K28" s="8"/>
      <c r="L28" s="8"/>
      <c r="M28" s="8"/>
      <c r="N28" s="8"/>
      <c r="O28" s="8"/>
      <c r="P28" s="8"/>
      <c r="Q28" s="8"/>
      <c r="R28" s="8"/>
      <c r="S28" s="8"/>
      <c r="T28" s="8"/>
      <c r="U28" s="8"/>
      <c r="V28" s="8"/>
      <c r="W28" s="8"/>
      <c r="X28" s="8"/>
      <c r="Y28" s="8"/>
      <c r="Z28" s="8"/>
      <c r="AA28" s="8"/>
      <c r="AB28" s="8"/>
    </row>
    <row r="29" customFormat="false" ht="15" hidden="false" customHeight="false" outlineLevel="0" collapsed="false">
      <c r="B29" s="6" t="s">
        <v>143</v>
      </c>
      <c r="C29" s="21" t="n">
        <f aca="false">NOL_Opening</f>
        <v>0</v>
      </c>
      <c r="D29" s="21" t="n">
        <f aca="false">C32</f>
        <v>0</v>
      </c>
      <c r="E29" s="21" t="n">
        <f aca="false">D32</f>
        <v>2115675</v>
      </c>
      <c r="F29" s="21" t="n">
        <f aca="false">E32</f>
        <v>4253043.125</v>
      </c>
      <c r="G29" s="21" t="n">
        <f aca="false">F32</f>
        <v>6412312.015625</v>
      </c>
      <c r="H29" s="21" t="n">
        <f aca="false">G32</f>
        <v>8593677.76914062</v>
      </c>
      <c r="I29" s="21" t="n">
        <f aca="false">H32</f>
        <v>10061798.9840686</v>
      </c>
      <c r="J29" s="21" t="n">
        <f aca="false">I32</f>
        <v>11537659.5585592</v>
      </c>
      <c r="K29" s="21" t="n">
        <f aca="false">J32</f>
        <v>13021119.7143366</v>
      </c>
      <c r="L29" s="21" t="n">
        <f aca="false">K32</f>
        <v>14512017.30898</v>
      </c>
      <c r="M29" s="21" t="n">
        <f aca="false">L32</f>
        <v>16010166.2892047</v>
      </c>
      <c r="N29" s="21" t="n">
        <f aca="false">M32</f>
        <v>17515355.055211</v>
      </c>
      <c r="O29" s="21" t="n">
        <f aca="false">N32</f>
        <v>19027344.7313476</v>
      </c>
      <c r="P29" s="21" t="n">
        <f aca="false">O32</f>
        <v>20545867.33809</v>
      </c>
      <c r="Q29" s="21" t="n">
        <f aca="false">P32</f>
        <v>22070623.8600752</v>
      </c>
      <c r="R29" s="21" t="n">
        <f aca="false">Q32</f>
        <v>23601282.2046633</v>
      </c>
      <c r="S29" s="21" t="n">
        <f aca="false">R32</f>
        <v>25137475.045212</v>
      </c>
      <c r="T29" s="21" t="n">
        <f aca="false">S32</f>
        <v>26678797.5429489</v>
      </c>
      <c r="U29" s="21" t="n">
        <f aca="false">T32</f>
        <v>28224804.9410128</v>
      </c>
      <c r="V29" s="21" t="n">
        <f aca="false">U32</f>
        <v>29775010.0239045</v>
      </c>
      <c r="W29" s="21" t="n">
        <f aca="false">V32</f>
        <v>31328880.4352391</v>
      </c>
      <c r="X29" s="21" t="n">
        <f aca="false">W32</f>
        <v>32885835.8463265</v>
      </c>
      <c r="Y29" s="21" t="n">
        <f aca="false">X32</f>
        <v>34445244.967725</v>
      </c>
      <c r="Z29" s="21" t="n">
        <f aca="false">Y32</f>
        <v>36006422.3955071</v>
      </c>
      <c r="AA29" s="21" t="n">
        <f aca="false">Z32</f>
        <v>37568625.2835539</v>
      </c>
      <c r="AB29" s="21" t="n">
        <f aca="false">AA32</f>
        <v>39131049.8327507</v>
      </c>
    </row>
    <row r="30" customFormat="false" ht="15" hidden="false" customHeight="false" outlineLevel="0" collapsed="false">
      <c r="B30" s="26" t="s">
        <v>215</v>
      </c>
      <c r="C30" s="21" t="n">
        <f aca="false">IF(C27&lt;0,-C27,0)</f>
        <v>0</v>
      </c>
      <c r="D30" s="21" t="n">
        <f aca="false">IF(D27&lt;0,-D27,0)</f>
        <v>2115675</v>
      </c>
      <c r="E30" s="21" t="n">
        <f aca="false">IF(E27&lt;0,-E27,0)</f>
        <v>2137368.125</v>
      </c>
      <c r="F30" s="21" t="n">
        <f aca="false">IF(F27&lt;0,-F27,0)</f>
        <v>2159268.890625</v>
      </c>
      <c r="G30" s="21" t="n">
        <f aca="false">IF(G27&lt;0,-G27,0)</f>
        <v>2181365.75351562</v>
      </c>
      <c r="H30" s="21" t="n">
        <f aca="false">IF(H27&lt;0,-H27,0)</f>
        <v>1468121.21492796</v>
      </c>
      <c r="I30" s="21" t="n">
        <f aca="false">IF(I27&lt;0,-I27,0)</f>
        <v>1475860.57449064</v>
      </c>
      <c r="J30" s="21" t="n">
        <f aca="false">IF(J27&lt;0,-J27,0)</f>
        <v>1483460.15577733</v>
      </c>
      <c r="K30" s="21" t="n">
        <f aca="false">IF(K27&lt;0,-K27,0)</f>
        <v>1490897.59464342</v>
      </c>
      <c r="L30" s="21" t="n">
        <f aca="false">IF(L27&lt;0,-L27,0)</f>
        <v>1498148.98022476</v>
      </c>
      <c r="M30" s="21" t="n">
        <f aca="false">IF(M27&lt;0,-M27,0)</f>
        <v>1505188.76600631</v>
      </c>
      <c r="N30" s="21" t="n">
        <f aca="false">IF(N27&lt;0,-N27,0)</f>
        <v>1511989.67613661</v>
      </c>
      <c r="O30" s="21" t="n">
        <f aca="false">IF(O27&lt;0,-O27,0)</f>
        <v>1518522.6067424</v>
      </c>
      <c r="P30" s="21" t="n">
        <f aca="false">IF(P27&lt;0,-P27,0)</f>
        <v>1524756.52198515</v>
      </c>
      <c r="Q30" s="21" t="n">
        <f aca="false">IF(Q27&lt;0,-Q27,0)</f>
        <v>1530658.34458809</v>
      </c>
      <c r="R30" s="21" t="n">
        <f aca="false">IF(R27&lt;0,-R27,0)</f>
        <v>1536192.84054871</v>
      </c>
      <c r="S30" s="21" t="n">
        <f aca="false">IF(S27&lt;0,-S27,0)</f>
        <v>1541322.49773686</v>
      </c>
      <c r="T30" s="21" t="n">
        <f aca="false">IF(T27&lt;0,-T27,0)</f>
        <v>1546007.3980639</v>
      </c>
      <c r="U30" s="21" t="n">
        <f aca="false">IF(U27&lt;0,-U27,0)</f>
        <v>1550205.08289176</v>
      </c>
      <c r="V30" s="21" t="n">
        <f aca="false">IF(V27&lt;0,-V27,0)</f>
        <v>1553870.41133456</v>
      </c>
      <c r="W30" s="21" t="n">
        <f aca="false">IF(W27&lt;0,-W27,0)</f>
        <v>1556955.41108739</v>
      </c>
      <c r="X30" s="21" t="n">
        <f aca="false">IF(X27&lt;0,-X27,0)</f>
        <v>1559409.12139857</v>
      </c>
      <c r="Y30" s="21" t="n">
        <f aca="false">IF(Y27&lt;0,-Y27,0)</f>
        <v>1561177.4277821</v>
      </c>
      <c r="Z30" s="21" t="n">
        <f aca="false">IF(Z27&lt;0,-Z27,0)</f>
        <v>1562202.88804678</v>
      </c>
      <c r="AA30" s="21" t="n">
        <f aca="false">IF(AA27&lt;0,-AA27,0)</f>
        <v>1562424.54919679</v>
      </c>
      <c r="AB30" s="21" t="n">
        <f aca="false">IF(AB27&lt;0,-AB27,0)</f>
        <v>0</v>
      </c>
    </row>
    <row r="31" customFormat="false" ht="15" hidden="false" customHeight="false" outlineLevel="0" collapsed="false">
      <c r="B31" s="26" t="s">
        <v>216</v>
      </c>
      <c r="C31" s="21" t="n">
        <f aca="false">IF(C27&gt;0,MIN(C29,C27),0)</f>
        <v>0</v>
      </c>
      <c r="D31" s="21" t="n">
        <f aca="false">IF(D27&gt;0,MIN(D29,D27),0)</f>
        <v>0</v>
      </c>
      <c r="E31" s="21" t="n">
        <f aca="false">IF(E27&gt;0,MIN(E29,E27),0)</f>
        <v>0</v>
      </c>
      <c r="F31" s="21" t="n">
        <f aca="false">IF(F27&gt;0,MIN(F29,F27),0)</f>
        <v>0</v>
      </c>
      <c r="G31" s="21" t="n">
        <f aca="false">IF(G27&gt;0,MIN(G29,G27),0)</f>
        <v>0</v>
      </c>
      <c r="H31" s="21" t="n">
        <f aca="false">IF(H27&gt;0,MIN(H29,H27),0)</f>
        <v>0</v>
      </c>
      <c r="I31" s="21" t="n">
        <f aca="false">IF(I27&gt;0,MIN(I29,I27),0)</f>
        <v>0</v>
      </c>
      <c r="J31" s="21" t="n">
        <f aca="false">IF(J27&gt;0,MIN(J29,J27),0)</f>
        <v>0</v>
      </c>
      <c r="K31" s="21" t="n">
        <f aca="false">IF(K27&gt;0,MIN(K29,K27),0)</f>
        <v>0</v>
      </c>
      <c r="L31" s="21" t="n">
        <f aca="false">IF(L27&gt;0,MIN(L29,L27),0)</f>
        <v>0</v>
      </c>
      <c r="M31" s="21" t="n">
        <f aca="false">IF(M27&gt;0,MIN(M29,M27),0)</f>
        <v>0</v>
      </c>
      <c r="N31" s="21" t="n">
        <f aca="false">IF(N27&gt;0,MIN(N29,N27),0)</f>
        <v>0</v>
      </c>
      <c r="O31" s="21" t="n">
        <f aca="false">IF(O27&gt;0,MIN(O29,O27),0)</f>
        <v>0</v>
      </c>
      <c r="P31" s="21" t="n">
        <f aca="false">IF(P27&gt;0,MIN(P29,P27),0)</f>
        <v>0</v>
      </c>
      <c r="Q31" s="21" t="n">
        <f aca="false">IF(Q27&gt;0,MIN(Q29,Q27),0)</f>
        <v>0</v>
      </c>
      <c r="R31" s="21" t="n">
        <f aca="false">IF(R27&gt;0,MIN(R29,R27),0)</f>
        <v>0</v>
      </c>
      <c r="S31" s="21" t="n">
        <f aca="false">IF(S27&gt;0,MIN(S29,S27),0)</f>
        <v>0</v>
      </c>
      <c r="T31" s="21" t="n">
        <f aca="false">IF(T27&gt;0,MIN(T29,T27),0)</f>
        <v>0</v>
      </c>
      <c r="U31" s="21" t="n">
        <f aca="false">IF(U27&gt;0,MIN(U29,U27),0)</f>
        <v>0</v>
      </c>
      <c r="V31" s="21" t="n">
        <f aca="false">IF(V27&gt;0,MIN(V29,V27),0)</f>
        <v>0</v>
      </c>
      <c r="W31" s="21" t="n">
        <f aca="false">IF(W27&gt;0,MIN(W29,W27),0)</f>
        <v>0</v>
      </c>
      <c r="X31" s="21" t="n">
        <f aca="false">IF(X27&gt;0,MIN(X29,X27),0)</f>
        <v>0</v>
      </c>
      <c r="Y31" s="21" t="n">
        <f aca="false">IF(Y27&gt;0,MIN(Y29,Y27),0)</f>
        <v>0</v>
      </c>
      <c r="Z31" s="21" t="n">
        <f aca="false">IF(Z27&gt;0,MIN(Z29,Z27),0)</f>
        <v>0</v>
      </c>
      <c r="AA31" s="21" t="n">
        <f aca="false">IF(AA27&gt;0,MIN(AA29,AA27),0)</f>
        <v>0</v>
      </c>
      <c r="AB31" s="21" t="n">
        <f aca="false">IF(AB27&gt;0,MIN(AB29,AB27),0)</f>
        <v>39131049.8327507</v>
      </c>
    </row>
    <row r="32" customFormat="false" ht="15" hidden="false" customHeight="false" outlineLevel="0" collapsed="false">
      <c r="B32" s="26" t="s">
        <v>217</v>
      </c>
      <c r="C32" s="21" t="n">
        <f aca="false">C29+C30-C31</f>
        <v>0</v>
      </c>
      <c r="D32" s="21" t="n">
        <f aca="false">D29+D30-D31</f>
        <v>2115675</v>
      </c>
      <c r="E32" s="21" t="n">
        <f aca="false">E29+E30-E31</f>
        <v>4253043.125</v>
      </c>
      <c r="F32" s="21" t="n">
        <f aca="false">F29+F30-F31</f>
        <v>6412312.015625</v>
      </c>
      <c r="G32" s="21" t="n">
        <f aca="false">G29+G30-G31</f>
        <v>8593677.76914062</v>
      </c>
      <c r="H32" s="21" t="n">
        <f aca="false">H29+H30-H31</f>
        <v>10061798.9840686</v>
      </c>
      <c r="I32" s="21" t="n">
        <f aca="false">I29+I30-I31</f>
        <v>11537659.5585592</v>
      </c>
      <c r="J32" s="21" t="n">
        <f aca="false">J29+J30-J31</f>
        <v>13021119.7143366</v>
      </c>
      <c r="K32" s="21" t="n">
        <f aca="false">K29+K30-K31</f>
        <v>14512017.30898</v>
      </c>
      <c r="L32" s="21" t="n">
        <f aca="false">L29+L30-L31</f>
        <v>16010166.2892047</v>
      </c>
      <c r="M32" s="21" t="n">
        <f aca="false">M29+M30-M31</f>
        <v>17515355.055211</v>
      </c>
      <c r="N32" s="21" t="n">
        <f aca="false">N29+N30-N31</f>
        <v>19027344.7313476</v>
      </c>
      <c r="O32" s="21" t="n">
        <f aca="false">O29+O30-O31</f>
        <v>20545867.33809</v>
      </c>
      <c r="P32" s="21" t="n">
        <f aca="false">P29+P30-P31</f>
        <v>22070623.8600752</v>
      </c>
      <c r="Q32" s="21" t="n">
        <f aca="false">Q29+Q30-Q31</f>
        <v>23601282.2046633</v>
      </c>
      <c r="R32" s="21" t="n">
        <f aca="false">R29+R30-R31</f>
        <v>25137475.045212</v>
      </c>
      <c r="S32" s="21" t="n">
        <f aca="false">S29+S30-S31</f>
        <v>26678797.5429489</v>
      </c>
      <c r="T32" s="21" t="n">
        <f aca="false">T29+T30-T31</f>
        <v>28224804.9410128</v>
      </c>
      <c r="U32" s="21" t="n">
        <f aca="false">U29+U30-U31</f>
        <v>29775010.0239045</v>
      </c>
      <c r="V32" s="21" t="n">
        <f aca="false">V29+V30-V31</f>
        <v>31328880.4352391</v>
      </c>
      <c r="W32" s="21" t="n">
        <f aca="false">W29+W30-W31</f>
        <v>32885835.8463265</v>
      </c>
      <c r="X32" s="21" t="n">
        <f aca="false">X29+X30-X31</f>
        <v>34445244.967725</v>
      </c>
      <c r="Y32" s="21" t="n">
        <f aca="false">Y29+Y30-Y31</f>
        <v>36006422.3955071</v>
      </c>
      <c r="Z32" s="21" t="n">
        <f aca="false">Z29+Z30-Z31</f>
        <v>37568625.2835539</v>
      </c>
      <c r="AA32" s="21" t="n">
        <f aca="false">AA29+AA30-AA31</f>
        <v>39131049.8327507</v>
      </c>
      <c r="AB32" s="21" t="n">
        <f aca="false">AB29+AB30-AB31</f>
        <v>0</v>
      </c>
    </row>
    <row r="33" customFormat="false" ht="15" hidden="false" customHeight="false" outlineLevel="0" collapsed="false">
      <c r="B33" s="26" t="s">
        <v>218</v>
      </c>
      <c r="C33" s="21" t="n">
        <f aca="false">MAX(0,C27-C31)</f>
        <v>0</v>
      </c>
      <c r="D33" s="21" t="n">
        <f aca="false">MAX(0,D27-D31)</f>
        <v>0</v>
      </c>
      <c r="E33" s="21" t="n">
        <f aca="false">MAX(0,E27-E31)</f>
        <v>0</v>
      </c>
      <c r="F33" s="21" t="n">
        <f aca="false">MAX(0,F27-F31)</f>
        <v>0</v>
      </c>
      <c r="G33" s="21" t="n">
        <f aca="false">MAX(0,G27-G31)</f>
        <v>0</v>
      </c>
      <c r="H33" s="21" t="n">
        <f aca="false">MAX(0,H27-H31)</f>
        <v>0</v>
      </c>
      <c r="I33" s="21" t="n">
        <f aca="false">MAX(0,I27-I31)</f>
        <v>0</v>
      </c>
      <c r="J33" s="21" t="n">
        <f aca="false">MAX(0,J27-J31)</f>
        <v>0</v>
      </c>
      <c r="K33" s="21" t="n">
        <f aca="false">MAX(0,K27-K31)</f>
        <v>0</v>
      </c>
      <c r="L33" s="21" t="n">
        <f aca="false">MAX(0,L27-L31)</f>
        <v>0</v>
      </c>
      <c r="M33" s="21" t="n">
        <f aca="false">MAX(0,M27-M31)</f>
        <v>0</v>
      </c>
      <c r="N33" s="21" t="n">
        <f aca="false">MAX(0,N27-N31)</f>
        <v>0</v>
      </c>
      <c r="O33" s="21" t="n">
        <f aca="false">MAX(0,O27-O31)</f>
        <v>0</v>
      </c>
      <c r="P33" s="21" t="n">
        <f aca="false">MAX(0,P27-P31)</f>
        <v>0</v>
      </c>
      <c r="Q33" s="21" t="n">
        <f aca="false">MAX(0,Q27-Q31)</f>
        <v>0</v>
      </c>
      <c r="R33" s="21" t="n">
        <f aca="false">MAX(0,R27-R31)</f>
        <v>0</v>
      </c>
      <c r="S33" s="21" t="n">
        <f aca="false">MAX(0,S27-S31)</f>
        <v>0</v>
      </c>
      <c r="T33" s="21" t="n">
        <f aca="false">MAX(0,T27-T31)</f>
        <v>0</v>
      </c>
      <c r="U33" s="21" t="n">
        <f aca="false">MAX(0,U27-U31)</f>
        <v>0</v>
      </c>
      <c r="V33" s="21" t="n">
        <f aca="false">MAX(0,V27-V31)</f>
        <v>0</v>
      </c>
      <c r="W33" s="21" t="n">
        <f aca="false">MAX(0,W27-W31)</f>
        <v>0</v>
      </c>
      <c r="X33" s="21" t="n">
        <f aca="false">MAX(0,X27-X31)</f>
        <v>0</v>
      </c>
      <c r="Y33" s="21" t="n">
        <f aca="false">MAX(0,Y27-Y31)</f>
        <v>0</v>
      </c>
      <c r="Z33" s="21" t="n">
        <f aca="false">MAX(0,Z27-Z31)</f>
        <v>0</v>
      </c>
      <c r="AA33" s="21" t="n">
        <f aca="false">MAX(0,AA27-AA31)</f>
        <v>0</v>
      </c>
      <c r="AB33" s="21" t="n">
        <f aca="false">MAX(0,AB27-AB31)</f>
        <v>120086047.180683</v>
      </c>
    </row>
    <row r="34" customFormat="false" ht="15" hidden="false" customHeight="false" outlineLevel="0" collapsed="false">
      <c r="B34" s="26" t="s">
        <v>219</v>
      </c>
      <c r="C34" s="21" t="n">
        <f aca="false">C33*Tax_Rate</f>
        <v>0</v>
      </c>
      <c r="D34" s="21" t="n">
        <f aca="false">D33*Tax_Rate</f>
        <v>0</v>
      </c>
      <c r="E34" s="21" t="n">
        <f aca="false">E33*Tax_Rate</f>
        <v>0</v>
      </c>
      <c r="F34" s="21" t="n">
        <f aca="false">F33*Tax_Rate</f>
        <v>0</v>
      </c>
      <c r="G34" s="21" t="n">
        <f aca="false">G33*Tax_Rate</f>
        <v>0</v>
      </c>
      <c r="H34" s="21" t="n">
        <f aca="false">H33*Tax_Rate</f>
        <v>0</v>
      </c>
      <c r="I34" s="21" t="n">
        <f aca="false">I33*Tax_Rate</f>
        <v>0</v>
      </c>
      <c r="J34" s="21" t="n">
        <f aca="false">J33*Tax_Rate</f>
        <v>0</v>
      </c>
      <c r="K34" s="21" t="n">
        <f aca="false">K33*Tax_Rate</f>
        <v>0</v>
      </c>
      <c r="L34" s="21" t="n">
        <f aca="false">L33*Tax_Rate</f>
        <v>0</v>
      </c>
      <c r="M34" s="21" t="n">
        <f aca="false">M33*Tax_Rate</f>
        <v>0</v>
      </c>
      <c r="N34" s="21" t="n">
        <f aca="false">N33*Tax_Rate</f>
        <v>0</v>
      </c>
      <c r="O34" s="21" t="n">
        <f aca="false">O33*Tax_Rate</f>
        <v>0</v>
      </c>
      <c r="P34" s="21" t="n">
        <f aca="false">P33*Tax_Rate</f>
        <v>0</v>
      </c>
      <c r="Q34" s="21" t="n">
        <f aca="false">Q33*Tax_Rate</f>
        <v>0</v>
      </c>
      <c r="R34" s="21" t="n">
        <f aca="false">R33*Tax_Rate</f>
        <v>0</v>
      </c>
      <c r="S34" s="21" t="n">
        <f aca="false">S33*Tax_Rate</f>
        <v>0</v>
      </c>
      <c r="T34" s="21" t="n">
        <f aca="false">T33*Tax_Rate</f>
        <v>0</v>
      </c>
      <c r="U34" s="21" t="n">
        <f aca="false">U33*Tax_Rate</f>
        <v>0</v>
      </c>
      <c r="V34" s="21" t="n">
        <f aca="false">V33*Tax_Rate</f>
        <v>0</v>
      </c>
      <c r="W34" s="21" t="n">
        <f aca="false">W33*Tax_Rate</f>
        <v>0</v>
      </c>
      <c r="X34" s="21" t="n">
        <f aca="false">X33*Tax_Rate</f>
        <v>0</v>
      </c>
      <c r="Y34" s="21" t="n">
        <f aca="false">Y33*Tax_Rate</f>
        <v>0</v>
      </c>
      <c r="Z34" s="21" t="n">
        <f aca="false">Z33*Tax_Rate</f>
        <v>0</v>
      </c>
      <c r="AA34" s="21" t="n">
        <f aca="false">AA33*Tax_Rate</f>
        <v>0</v>
      </c>
      <c r="AB34" s="21" t="n">
        <f aca="false">AB33*Tax_Rate</f>
        <v>25218069.9079435</v>
      </c>
    </row>
    <row r="35" customFormat="false" ht="15" hidden="false" customHeight="false" outlineLevel="0" collapsed="false">
      <c r="B35" s="25" t="s">
        <v>220</v>
      </c>
      <c r="C35" s="8"/>
      <c r="D35" s="8"/>
      <c r="E35" s="8"/>
      <c r="F35" s="8"/>
      <c r="G35" s="8"/>
      <c r="H35" s="8"/>
      <c r="I35" s="8"/>
      <c r="J35" s="8"/>
      <c r="K35" s="8"/>
      <c r="L35" s="8"/>
      <c r="M35" s="8"/>
      <c r="N35" s="8"/>
      <c r="O35" s="8"/>
      <c r="P35" s="8"/>
      <c r="Q35" s="8"/>
      <c r="R35" s="8"/>
      <c r="S35" s="8"/>
      <c r="T35" s="8"/>
      <c r="U35" s="8"/>
      <c r="V35" s="8"/>
      <c r="W35" s="8"/>
      <c r="X35" s="8"/>
      <c r="Y35" s="8"/>
      <c r="Z35" s="8"/>
      <c r="AA35" s="8"/>
      <c r="AB35" s="8"/>
    </row>
    <row r="36" customFormat="false" ht="15" hidden="false" customHeight="false" outlineLevel="0" collapsed="false">
      <c r="B36" s="26" t="s">
        <v>220</v>
      </c>
      <c r="C36" s="29" t="n">
        <f aca="false">C27-C34</f>
        <v>0</v>
      </c>
      <c r="D36" s="29" t="n">
        <f aca="false">D27-D34</f>
        <v>-2115675</v>
      </c>
      <c r="E36" s="29" t="n">
        <f aca="false">E27-E34</f>
        <v>-2137368.125</v>
      </c>
      <c r="F36" s="29" t="n">
        <f aca="false">F27-F34</f>
        <v>-2159268.890625</v>
      </c>
      <c r="G36" s="29" t="n">
        <f aca="false">G27-G34</f>
        <v>-2181365.75351562</v>
      </c>
      <c r="H36" s="29" t="n">
        <f aca="false">H27-H34</f>
        <v>-1468121.21492796</v>
      </c>
      <c r="I36" s="29" t="n">
        <f aca="false">I27-I34</f>
        <v>-1475860.57449064</v>
      </c>
      <c r="J36" s="29" t="n">
        <f aca="false">J27-J34</f>
        <v>-1483460.15577733</v>
      </c>
      <c r="K36" s="29" t="n">
        <f aca="false">K27-K34</f>
        <v>-1490897.59464342</v>
      </c>
      <c r="L36" s="29" t="n">
        <f aca="false">L27-L34</f>
        <v>-1498148.98022476</v>
      </c>
      <c r="M36" s="29" t="n">
        <f aca="false">M27-M34</f>
        <v>-1505188.76600631</v>
      </c>
      <c r="N36" s="29" t="n">
        <f aca="false">N27-N34</f>
        <v>-1511989.67613661</v>
      </c>
      <c r="O36" s="29" t="n">
        <f aca="false">O27-O34</f>
        <v>-1518522.6067424</v>
      </c>
      <c r="P36" s="29" t="n">
        <f aca="false">P27-P34</f>
        <v>-1524756.52198515</v>
      </c>
      <c r="Q36" s="29" t="n">
        <f aca="false">Q27-Q34</f>
        <v>-1530658.34458809</v>
      </c>
      <c r="R36" s="29" t="n">
        <f aca="false">R27-R34</f>
        <v>-1536192.84054871</v>
      </c>
      <c r="S36" s="29" t="n">
        <f aca="false">S27-S34</f>
        <v>-1541322.49773686</v>
      </c>
      <c r="T36" s="29" t="n">
        <f aca="false">T27-T34</f>
        <v>-1546007.3980639</v>
      </c>
      <c r="U36" s="29" t="n">
        <f aca="false">U27-U34</f>
        <v>-1550205.08289176</v>
      </c>
      <c r="V36" s="29" t="n">
        <f aca="false">V27-V34</f>
        <v>-1553870.41133456</v>
      </c>
      <c r="W36" s="29" t="n">
        <f aca="false">W27-W34</f>
        <v>-1556955.41108739</v>
      </c>
      <c r="X36" s="29" t="n">
        <f aca="false">X27-X34</f>
        <v>-1559409.12139857</v>
      </c>
      <c r="Y36" s="29" t="n">
        <f aca="false">Y27-Y34</f>
        <v>-1561177.4277821</v>
      </c>
      <c r="Z36" s="29" t="n">
        <f aca="false">Z27-Z34</f>
        <v>-1562202.88804678</v>
      </c>
      <c r="AA36" s="29" t="n">
        <f aca="false">AA27-AA34</f>
        <v>-1562424.54919679</v>
      </c>
      <c r="AB36" s="29" t="n">
        <f aca="false">AB27-AB34</f>
        <v>133999027.105491</v>
      </c>
    </row>
    <row r="37" customFormat="false" ht="15" hidden="false" customHeight="false" outlineLevel="0" collapsed="false">
      <c r="B37" s="25" t="s">
        <v>221</v>
      </c>
      <c r="C37" s="8"/>
      <c r="D37" s="8"/>
      <c r="E37" s="8"/>
      <c r="F37" s="8"/>
      <c r="G37" s="8"/>
      <c r="H37" s="8"/>
      <c r="I37" s="8"/>
      <c r="J37" s="8"/>
      <c r="K37" s="8"/>
      <c r="L37" s="8"/>
      <c r="M37" s="8"/>
      <c r="N37" s="8"/>
      <c r="O37" s="8"/>
      <c r="P37" s="8"/>
      <c r="Q37" s="8"/>
      <c r="R37" s="8"/>
      <c r="S37" s="8"/>
      <c r="T37" s="8"/>
      <c r="U37" s="8"/>
      <c r="V37" s="8"/>
      <c r="W37" s="8"/>
      <c r="X37" s="8"/>
      <c r="Y37" s="8"/>
      <c r="Z37" s="8"/>
      <c r="AA37" s="8"/>
      <c r="AB37" s="8"/>
    </row>
    <row r="38" customFormat="false" ht="15" hidden="false" customHeight="false" outlineLevel="0" collapsed="false">
      <c r="B38" s="26" t="s">
        <v>222</v>
      </c>
      <c r="C38" s="21" t="n">
        <f aca="false">MAX(0,C36*Dividend_Payout)</f>
        <v>0</v>
      </c>
      <c r="D38" s="21" t="n">
        <f aca="false">MAX(0,D36*Dividend_Payout)</f>
        <v>0</v>
      </c>
      <c r="E38" s="21" t="n">
        <f aca="false">MAX(0,E36*Dividend_Payout)</f>
        <v>0</v>
      </c>
      <c r="F38" s="21" t="n">
        <f aca="false">MAX(0,F36*Dividend_Payout)</f>
        <v>0</v>
      </c>
      <c r="G38" s="21" t="n">
        <f aca="false">MAX(0,G36*Dividend_Payout)</f>
        <v>0</v>
      </c>
      <c r="H38" s="21" t="n">
        <f aca="false">MAX(0,H36*Dividend_Payout)</f>
        <v>0</v>
      </c>
      <c r="I38" s="21" t="n">
        <f aca="false">MAX(0,I36*Dividend_Payout)</f>
        <v>0</v>
      </c>
      <c r="J38" s="21" t="n">
        <f aca="false">MAX(0,J36*Dividend_Payout)</f>
        <v>0</v>
      </c>
      <c r="K38" s="21" t="n">
        <f aca="false">MAX(0,K36*Dividend_Payout)</f>
        <v>0</v>
      </c>
      <c r="L38" s="21" t="n">
        <f aca="false">MAX(0,L36*Dividend_Payout)</f>
        <v>0</v>
      </c>
      <c r="M38" s="21" t="n">
        <f aca="false">MAX(0,M36*Dividend_Payout)</f>
        <v>0</v>
      </c>
      <c r="N38" s="21" t="n">
        <f aca="false">MAX(0,N36*Dividend_Payout)</f>
        <v>0</v>
      </c>
      <c r="O38" s="21" t="n">
        <f aca="false">MAX(0,O36*Dividend_Payout)</f>
        <v>0</v>
      </c>
      <c r="P38" s="21" t="n">
        <f aca="false">MAX(0,P36*Dividend_Payout)</f>
        <v>0</v>
      </c>
      <c r="Q38" s="21" t="n">
        <f aca="false">MAX(0,Q36*Dividend_Payout)</f>
        <v>0</v>
      </c>
      <c r="R38" s="21" t="n">
        <f aca="false">MAX(0,R36*Dividend_Payout)</f>
        <v>0</v>
      </c>
      <c r="S38" s="21" t="n">
        <f aca="false">MAX(0,S36*Dividend_Payout)</f>
        <v>0</v>
      </c>
      <c r="T38" s="21" t="n">
        <f aca="false">MAX(0,T36*Dividend_Payout)</f>
        <v>0</v>
      </c>
      <c r="U38" s="21" t="n">
        <f aca="false">MAX(0,U36*Dividend_Payout)</f>
        <v>0</v>
      </c>
      <c r="V38" s="21" t="n">
        <f aca="false">MAX(0,V36*Dividend_Payout)</f>
        <v>0</v>
      </c>
      <c r="W38" s="21" t="n">
        <f aca="false">MAX(0,W36*Dividend_Payout)</f>
        <v>0</v>
      </c>
      <c r="X38" s="21" t="n">
        <f aca="false">MAX(0,X36*Dividend_Payout)</f>
        <v>0</v>
      </c>
      <c r="Y38" s="21" t="n">
        <f aca="false">MAX(0,Y36*Dividend_Payout)</f>
        <v>0</v>
      </c>
      <c r="Z38" s="21" t="n">
        <f aca="false">MAX(0,Z36*Dividend_Payout)</f>
        <v>0</v>
      </c>
      <c r="AA38" s="21" t="n">
        <f aca="false">MAX(0,AA36*Dividend_Payout)</f>
        <v>0</v>
      </c>
      <c r="AB38" s="21" t="n">
        <f aca="false">MAX(0,AB36*Dividend_Payout)</f>
        <v>133999027.105491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28"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223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224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C5" s="23" t="n">
        <f aca="false">Model_Start_Year+0</f>
        <v>2025</v>
      </c>
      <c r="D5" s="23" t="n">
        <f aca="false">Model_Start_Year+1</f>
        <v>2026</v>
      </c>
      <c r="E5" s="23" t="n">
        <f aca="false">Model_Start_Year+2</f>
        <v>2027</v>
      </c>
      <c r="F5" s="23" t="n">
        <f aca="false">Model_Start_Year+3</f>
        <v>2028</v>
      </c>
      <c r="G5" s="23" t="n">
        <f aca="false">Model_Start_Year+4</f>
        <v>2029</v>
      </c>
      <c r="H5" s="23" t="n">
        <f aca="false">Model_Start_Year+5</f>
        <v>2030</v>
      </c>
      <c r="I5" s="23" t="n">
        <f aca="false">Model_Start_Year+6</f>
        <v>2031</v>
      </c>
      <c r="J5" s="23" t="n">
        <f aca="false">Model_Start_Year+7</f>
        <v>2032</v>
      </c>
      <c r="K5" s="23" t="n">
        <f aca="false">Model_Start_Year+8</f>
        <v>2033</v>
      </c>
      <c r="L5" s="23" t="n">
        <f aca="false">Model_Start_Year+9</f>
        <v>2034</v>
      </c>
      <c r="M5" s="23" t="n">
        <f aca="false">Model_Start_Year+10</f>
        <v>2035</v>
      </c>
      <c r="N5" s="23" t="n">
        <f aca="false">Model_Start_Year+11</f>
        <v>2036</v>
      </c>
      <c r="O5" s="23" t="n">
        <f aca="false">Model_Start_Year+12</f>
        <v>2037</v>
      </c>
      <c r="P5" s="23" t="n">
        <f aca="false">Model_Start_Year+13</f>
        <v>2038</v>
      </c>
      <c r="Q5" s="23" t="n">
        <f aca="false">Model_Start_Year+14</f>
        <v>2039</v>
      </c>
      <c r="R5" s="23" t="n">
        <f aca="false">Model_Start_Year+15</f>
        <v>2040</v>
      </c>
      <c r="S5" s="23" t="n">
        <f aca="false">Model_Start_Year+16</f>
        <v>2041</v>
      </c>
      <c r="T5" s="23" t="n">
        <f aca="false">Model_Start_Year+17</f>
        <v>2042</v>
      </c>
      <c r="U5" s="23" t="n">
        <f aca="false">Model_Start_Year+18</f>
        <v>2043</v>
      </c>
      <c r="V5" s="23" t="n">
        <f aca="false">Model_Start_Year+19</f>
        <v>2044</v>
      </c>
      <c r="W5" s="23" t="n">
        <f aca="false">Model_Start_Year+20</f>
        <v>2045</v>
      </c>
      <c r="X5" s="23" t="n">
        <f aca="false">Model_Start_Year+21</f>
        <v>2046</v>
      </c>
      <c r="Y5" s="23" t="n">
        <f aca="false">Model_Start_Year+22</f>
        <v>2047</v>
      </c>
      <c r="Z5" s="23" t="n">
        <f aca="false">Model_Start_Year+23</f>
        <v>2048</v>
      </c>
      <c r="AA5" s="23" t="n">
        <f aca="false">Model_Start_Year+24</f>
        <v>2049</v>
      </c>
      <c r="AB5" s="23" t="n">
        <f aca="false">Model_Start_Year+25</f>
        <v>2050</v>
      </c>
    </row>
    <row r="6" customFormat="false" ht="15" hidden="false" customHeight="false" outlineLevel="0" collapsed="false">
      <c r="C6" s="24" t="n">
        <v>0</v>
      </c>
      <c r="D6" s="24" t="n">
        <v>1</v>
      </c>
      <c r="E6" s="24" t="n">
        <v>2</v>
      </c>
      <c r="F6" s="24" t="n">
        <v>3</v>
      </c>
      <c r="G6" s="24" t="n">
        <v>4</v>
      </c>
      <c r="H6" s="24" t="n">
        <v>5</v>
      </c>
      <c r="I6" s="24" t="n">
        <v>6</v>
      </c>
      <c r="J6" s="24" t="n">
        <v>7</v>
      </c>
      <c r="K6" s="24" t="n">
        <v>8</v>
      </c>
      <c r="L6" s="24" t="n">
        <v>9</v>
      </c>
      <c r="M6" s="24" t="n">
        <v>10</v>
      </c>
      <c r="N6" s="24" t="n">
        <v>11</v>
      </c>
      <c r="O6" s="24" t="n">
        <v>12</v>
      </c>
      <c r="P6" s="24" t="n">
        <v>13</v>
      </c>
      <c r="Q6" s="24" t="n">
        <v>14</v>
      </c>
      <c r="R6" s="24" t="n">
        <v>15</v>
      </c>
      <c r="S6" s="24" t="n">
        <v>16</v>
      </c>
      <c r="T6" s="24" t="n">
        <v>17</v>
      </c>
      <c r="U6" s="24" t="n">
        <v>18</v>
      </c>
      <c r="V6" s="24" t="n">
        <v>19</v>
      </c>
      <c r="W6" s="24" t="n">
        <v>20</v>
      </c>
      <c r="X6" s="24" t="n">
        <v>21</v>
      </c>
      <c r="Y6" s="24" t="n">
        <v>22</v>
      </c>
      <c r="Z6" s="24" t="n">
        <v>23</v>
      </c>
      <c r="AA6" s="24" t="n">
        <v>24</v>
      </c>
      <c r="AB6" s="24" t="n">
        <v>25</v>
      </c>
    </row>
    <row r="7" customFormat="false" ht="15" hidden="false" customHeight="false" outlineLevel="0" collapsed="false">
      <c r="B7" s="25" t="s">
        <v>225</v>
      </c>
      <c r="C7" s="8"/>
      <c r="D7" s="8"/>
      <c r="E7" s="8"/>
      <c r="F7" s="8"/>
      <c r="G7" s="8"/>
      <c r="H7" s="8"/>
      <c r="I7" s="8"/>
      <c r="J7" s="8"/>
      <c r="K7" s="8"/>
      <c r="L7" s="8"/>
      <c r="M7" s="8"/>
      <c r="N7" s="8"/>
      <c r="O7" s="8"/>
      <c r="P7" s="8"/>
      <c r="Q7" s="8"/>
      <c r="R7" s="8"/>
      <c r="S7" s="8"/>
      <c r="T7" s="8"/>
      <c r="U7" s="8"/>
      <c r="V7" s="8"/>
      <c r="W7" s="8"/>
      <c r="X7" s="8"/>
      <c r="Y7" s="8"/>
      <c r="Z7" s="8"/>
      <c r="AA7" s="8"/>
      <c r="AB7" s="8"/>
    </row>
    <row r="8" customFormat="false" ht="15" hidden="false" customHeight="false" outlineLevel="0" collapsed="false">
      <c r="B8" s="26" t="s">
        <v>226</v>
      </c>
      <c r="C8" s="21" t="n">
        <f aca="false">Income_Statement!C36</f>
        <v>0</v>
      </c>
      <c r="D8" s="21" t="n">
        <f aca="false">Income_Statement!D36</f>
        <v>-2115675</v>
      </c>
      <c r="E8" s="21" t="n">
        <f aca="false">Income_Statement!E36</f>
        <v>-2137368.125</v>
      </c>
      <c r="F8" s="21" t="n">
        <f aca="false">Income_Statement!F36</f>
        <v>-2159268.890625</v>
      </c>
      <c r="G8" s="21" t="n">
        <f aca="false">Income_Statement!G36</f>
        <v>-2181365.75351562</v>
      </c>
      <c r="H8" s="21" t="n">
        <f aca="false">Income_Statement!H36</f>
        <v>-1468121.21492796</v>
      </c>
      <c r="I8" s="21" t="n">
        <f aca="false">Income_Statement!I36</f>
        <v>-1475860.57449064</v>
      </c>
      <c r="J8" s="21" t="n">
        <f aca="false">Income_Statement!J36</f>
        <v>-1483460.15577733</v>
      </c>
      <c r="K8" s="21" t="n">
        <f aca="false">Income_Statement!K36</f>
        <v>-1490897.59464342</v>
      </c>
      <c r="L8" s="21" t="n">
        <f aca="false">Income_Statement!L36</f>
        <v>-1498148.98022476</v>
      </c>
      <c r="M8" s="21" t="n">
        <f aca="false">Income_Statement!M36</f>
        <v>-1505188.76600631</v>
      </c>
      <c r="N8" s="21" t="n">
        <f aca="false">Income_Statement!N36</f>
        <v>-1511989.67613661</v>
      </c>
      <c r="O8" s="21" t="n">
        <f aca="false">Income_Statement!O36</f>
        <v>-1518522.6067424</v>
      </c>
      <c r="P8" s="21" t="n">
        <f aca="false">Income_Statement!P36</f>
        <v>-1524756.52198515</v>
      </c>
      <c r="Q8" s="21" t="n">
        <f aca="false">Income_Statement!Q36</f>
        <v>-1530658.34458809</v>
      </c>
      <c r="R8" s="21" t="n">
        <f aca="false">Income_Statement!R36</f>
        <v>-1536192.84054871</v>
      </c>
      <c r="S8" s="21" t="n">
        <f aca="false">Income_Statement!S36</f>
        <v>-1541322.49773686</v>
      </c>
      <c r="T8" s="21" t="n">
        <f aca="false">Income_Statement!T36</f>
        <v>-1546007.3980639</v>
      </c>
      <c r="U8" s="21" t="n">
        <f aca="false">Income_Statement!U36</f>
        <v>-1550205.08289176</v>
      </c>
      <c r="V8" s="21" t="n">
        <f aca="false">Income_Statement!V36</f>
        <v>-1553870.41133456</v>
      </c>
      <c r="W8" s="21" t="n">
        <f aca="false">Income_Statement!W36</f>
        <v>-1556955.41108739</v>
      </c>
      <c r="X8" s="21" t="n">
        <f aca="false">Income_Statement!X36</f>
        <v>-1559409.12139857</v>
      </c>
      <c r="Y8" s="21" t="n">
        <f aca="false">Income_Statement!Y36</f>
        <v>-1561177.4277821</v>
      </c>
      <c r="Z8" s="21" t="n">
        <f aca="false">Income_Statement!Z36</f>
        <v>-1562202.88804678</v>
      </c>
      <c r="AA8" s="21" t="n">
        <f aca="false">Income_Statement!AA36</f>
        <v>-1562424.54919679</v>
      </c>
      <c r="AB8" s="21" t="n">
        <f aca="false">Income_Statement!AB36</f>
        <v>133999027.105491</v>
      </c>
    </row>
    <row r="9" customFormat="false" ht="15" hidden="false" customHeight="false" outlineLevel="0" collapsed="false">
      <c r="B9" s="26" t="s">
        <v>227</v>
      </c>
      <c r="C9" s="21" t="n">
        <f aca="false">0</f>
        <v>0</v>
      </c>
      <c r="D9" s="21" t="n">
        <f aca="false">0</f>
        <v>0</v>
      </c>
      <c r="E9" s="21" t="n">
        <f aca="false">0</f>
        <v>0</v>
      </c>
      <c r="F9" s="21" t="n">
        <f aca="false">0</f>
        <v>0</v>
      </c>
      <c r="G9" s="21" t="n">
        <f aca="false">0</f>
        <v>0</v>
      </c>
      <c r="H9" s="21" t="n">
        <f aca="false">0</f>
        <v>0</v>
      </c>
      <c r="I9" s="21" t="n">
        <f aca="false">0</f>
        <v>0</v>
      </c>
      <c r="J9" s="21" t="n">
        <f aca="false">0</f>
        <v>0</v>
      </c>
      <c r="K9" s="21" t="n">
        <f aca="false">0</f>
        <v>0</v>
      </c>
      <c r="L9" s="21" t="n">
        <f aca="false">0</f>
        <v>0</v>
      </c>
      <c r="M9" s="21" t="n">
        <f aca="false">0</f>
        <v>0</v>
      </c>
      <c r="N9" s="21" t="n">
        <f aca="false">0</f>
        <v>0</v>
      </c>
      <c r="O9" s="21" t="n">
        <f aca="false">0</f>
        <v>0</v>
      </c>
      <c r="P9" s="21" t="n">
        <f aca="false">0</f>
        <v>0</v>
      </c>
      <c r="Q9" s="21" t="n">
        <f aca="false">0</f>
        <v>0</v>
      </c>
      <c r="R9" s="21" t="n">
        <f aca="false">0</f>
        <v>0</v>
      </c>
      <c r="S9" s="21" t="n">
        <f aca="false">0</f>
        <v>0</v>
      </c>
      <c r="T9" s="21" t="n">
        <f aca="false">0</f>
        <v>0</v>
      </c>
      <c r="U9" s="21" t="n">
        <f aca="false">0</f>
        <v>0</v>
      </c>
      <c r="V9" s="21" t="n">
        <f aca="false">0</f>
        <v>0</v>
      </c>
      <c r="W9" s="21" t="n">
        <f aca="false">0</f>
        <v>0</v>
      </c>
      <c r="X9" s="21" t="n">
        <f aca="false">0</f>
        <v>0</v>
      </c>
      <c r="Y9" s="21" t="n">
        <f aca="false">0</f>
        <v>0</v>
      </c>
      <c r="Z9" s="21" t="n">
        <f aca="false">0</f>
        <v>0</v>
      </c>
      <c r="AA9" s="21" t="n">
        <f aca="false">0</f>
        <v>0</v>
      </c>
      <c r="AB9" s="21" t="n">
        <f aca="false">0</f>
        <v>0</v>
      </c>
    </row>
    <row r="10" customFormat="false" ht="15" hidden="false" customHeight="false" outlineLevel="0" collapsed="false">
      <c r="B10" s="26" t="s">
        <v>228</v>
      </c>
      <c r="C10" s="21" t="n">
        <f aca="false">0</f>
        <v>0</v>
      </c>
      <c r="D10" s="21" t="n">
        <f aca="false">0</f>
        <v>0</v>
      </c>
      <c r="E10" s="21" t="n">
        <f aca="false">0</f>
        <v>0</v>
      </c>
      <c r="F10" s="21" t="n">
        <f aca="false">0</f>
        <v>0</v>
      </c>
      <c r="G10" s="21" t="n">
        <f aca="false">0</f>
        <v>0</v>
      </c>
      <c r="H10" s="21" t="n">
        <f aca="false">0</f>
        <v>0</v>
      </c>
      <c r="I10" s="21" t="n">
        <f aca="false">0</f>
        <v>0</v>
      </c>
      <c r="J10" s="21" t="n">
        <f aca="false">0</f>
        <v>0</v>
      </c>
      <c r="K10" s="21" t="n">
        <f aca="false">0</f>
        <v>0</v>
      </c>
      <c r="L10" s="21" t="n">
        <f aca="false">0</f>
        <v>0</v>
      </c>
      <c r="M10" s="21" t="n">
        <f aca="false">0</f>
        <v>0</v>
      </c>
      <c r="N10" s="21" t="n">
        <f aca="false">0</f>
        <v>0</v>
      </c>
      <c r="O10" s="21" t="n">
        <f aca="false">0</f>
        <v>0</v>
      </c>
      <c r="P10" s="21" t="n">
        <f aca="false">0</f>
        <v>0</v>
      </c>
      <c r="Q10" s="21" t="n">
        <f aca="false">0</f>
        <v>0</v>
      </c>
      <c r="R10" s="21" t="n">
        <f aca="false">0</f>
        <v>0</v>
      </c>
      <c r="S10" s="21" t="n">
        <f aca="false">0</f>
        <v>0</v>
      </c>
      <c r="T10" s="21" t="n">
        <f aca="false">0</f>
        <v>0</v>
      </c>
      <c r="U10" s="21" t="n">
        <f aca="false">0</f>
        <v>0</v>
      </c>
      <c r="V10" s="21" t="n">
        <f aca="false">0</f>
        <v>0</v>
      </c>
      <c r="W10" s="21" t="n">
        <f aca="false">0</f>
        <v>0</v>
      </c>
      <c r="X10" s="21" t="n">
        <f aca="false">0</f>
        <v>0</v>
      </c>
      <c r="Y10" s="21" t="n">
        <f aca="false">0</f>
        <v>0</v>
      </c>
      <c r="Z10" s="21" t="n">
        <f aca="false">0</f>
        <v>0</v>
      </c>
      <c r="AA10" s="21" t="n">
        <f aca="false">0</f>
        <v>0</v>
      </c>
      <c r="AB10" s="21" t="n">
        <f aca="false">0</f>
        <v>0</v>
      </c>
    </row>
    <row r="11" customFormat="false" ht="15" hidden="false" customHeight="false" outlineLevel="0" collapsed="false">
      <c r="B11" s="26" t="s">
        <v>229</v>
      </c>
      <c r="C11" s="27" t="n">
        <f aca="false">C8+C9+C10</f>
        <v>0</v>
      </c>
      <c r="D11" s="27" t="n">
        <f aca="false">D8+D9+D10</f>
        <v>-2115675</v>
      </c>
      <c r="E11" s="27" t="n">
        <f aca="false">E8+E9+E10</f>
        <v>-2137368.125</v>
      </c>
      <c r="F11" s="27" t="n">
        <f aca="false">F8+F9+F10</f>
        <v>-2159268.890625</v>
      </c>
      <c r="G11" s="27" t="n">
        <f aca="false">G8+G9+G10</f>
        <v>-2181365.75351562</v>
      </c>
      <c r="H11" s="27" t="n">
        <f aca="false">H8+H9+H10</f>
        <v>-1468121.21492796</v>
      </c>
      <c r="I11" s="27" t="n">
        <f aca="false">I8+I9+I10</f>
        <v>-1475860.57449064</v>
      </c>
      <c r="J11" s="27" t="n">
        <f aca="false">J8+J9+J10</f>
        <v>-1483460.15577733</v>
      </c>
      <c r="K11" s="27" t="n">
        <f aca="false">K8+K9+K10</f>
        <v>-1490897.59464342</v>
      </c>
      <c r="L11" s="27" t="n">
        <f aca="false">L8+L9+L10</f>
        <v>-1498148.98022476</v>
      </c>
      <c r="M11" s="27" t="n">
        <f aca="false">M8+M9+M10</f>
        <v>-1505188.76600631</v>
      </c>
      <c r="N11" s="27" t="n">
        <f aca="false">N8+N9+N10</f>
        <v>-1511989.67613661</v>
      </c>
      <c r="O11" s="27" t="n">
        <f aca="false">O8+O9+O10</f>
        <v>-1518522.6067424</v>
      </c>
      <c r="P11" s="27" t="n">
        <f aca="false">P8+P9+P10</f>
        <v>-1524756.52198515</v>
      </c>
      <c r="Q11" s="27" t="n">
        <f aca="false">Q8+Q9+Q10</f>
        <v>-1530658.34458809</v>
      </c>
      <c r="R11" s="27" t="n">
        <f aca="false">R8+R9+R10</f>
        <v>-1536192.84054871</v>
      </c>
      <c r="S11" s="27" t="n">
        <f aca="false">S8+S9+S10</f>
        <v>-1541322.49773686</v>
      </c>
      <c r="T11" s="27" t="n">
        <f aca="false">T8+T9+T10</f>
        <v>-1546007.3980639</v>
      </c>
      <c r="U11" s="27" t="n">
        <f aca="false">U8+U9+U10</f>
        <v>-1550205.08289176</v>
      </c>
      <c r="V11" s="27" t="n">
        <f aca="false">V8+V9+V10</f>
        <v>-1553870.41133456</v>
      </c>
      <c r="W11" s="27" t="n">
        <f aca="false">W8+W9+W10</f>
        <v>-1556955.41108739</v>
      </c>
      <c r="X11" s="27" t="n">
        <f aca="false">X8+X9+X10</f>
        <v>-1559409.12139857</v>
      </c>
      <c r="Y11" s="27" t="n">
        <f aca="false">Y8+Y9+Y10</f>
        <v>-1561177.4277821</v>
      </c>
      <c r="Z11" s="27" t="n">
        <f aca="false">Z8+Z9+Z10</f>
        <v>-1562202.88804678</v>
      </c>
      <c r="AA11" s="27" t="n">
        <f aca="false">AA8+AA9+AA10</f>
        <v>-1562424.54919679</v>
      </c>
      <c r="AB11" s="27" t="n">
        <f aca="false">AB8+AB9+AB10</f>
        <v>133999027.105491</v>
      </c>
    </row>
    <row r="12" customFormat="false" ht="15" hidden="false" customHeight="false" outlineLevel="0" collapsed="false">
      <c r="B12" s="25" t="s">
        <v>230</v>
      </c>
      <c r="C12" s="8"/>
      <c r="D12" s="8"/>
      <c r="E12" s="8"/>
      <c r="F12" s="8"/>
      <c r="G12" s="8"/>
      <c r="H12" s="8"/>
      <c r="I12" s="8"/>
      <c r="J12" s="8"/>
      <c r="K12" s="8"/>
      <c r="L12" s="8"/>
      <c r="M12" s="8"/>
      <c r="N12" s="8"/>
      <c r="O12" s="8"/>
      <c r="P12" s="8"/>
      <c r="Q12" s="8"/>
      <c r="R12" s="8"/>
      <c r="S12" s="8"/>
      <c r="T12" s="8"/>
      <c r="U12" s="8"/>
      <c r="V12" s="8"/>
      <c r="W12" s="8"/>
      <c r="X12" s="8"/>
      <c r="Y12" s="8"/>
      <c r="Z12" s="8"/>
      <c r="AA12" s="8"/>
      <c r="AB12" s="8"/>
    </row>
    <row r="13" customFormat="false" ht="15" hidden="false" customHeight="false" outlineLevel="0" collapsed="false">
      <c r="B13" s="26" t="s">
        <v>231</v>
      </c>
      <c r="C13" s="21" t="n">
        <f aca="false">IF(C6=0,-Total_Area*Land_Price_Per_Ha,0)</f>
        <v>-25000000</v>
      </c>
      <c r="D13" s="21" t="n">
        <f aca="false">IF(D6=0,-Total_Area*Land_Price_Per_Ha,0)</f>
        <v>0</v>
      </c>
      <c r="E13" s="21" t="n">
        <f aca="false">IF(E6=0,-Total_Area*Land_Price_Per_Ha,0)</f>
        <v>0</v>
      </c>
      <c r="F13" s="21" t="n">
        <f aca="false">IF(F6=0,-Total_Area*Land_Price_Per_Ha,0)</f>
        <v>0</v>
      </c>
      <c r="G13" s="21" t="n">
        <f aca="false">IF(G6=0,-Total_Area*Land_Price_Per_Ha,0)</f>
        <v>0</v>
      </c>
      <c r="H13" s="21" t="n">
        <f aca="false">IF(H6=0,-Total_Area*Land_Price_Per_Ha,0)</f>
        <v>0</v>
      </c>
      <c r="I13" s="21" t="n">
        <f aca="false">IF(I6=0,-Total_Area*Land_Price_Per_Ha,0)</f>
        <v>0</v>
      </c>
      <c r="J13" s="21" t="n">
        <f aca="false">IF(J6=0,-Total_Area*Land_Price_Per_Ha,0)</f>
        <v>0</v>
      </c>
      <c r="K13" s="21" t="n">
        <f aca="false">IF(K6=0,-Total_Area*Land_Price_Per_Ha,0)</f>
        <v>0</v>
      </c>
      <c r="L13" s="21" t="n">
        <f aca="false">IF(L6=0,-Total_Area*Land_Price_Per_Ha,0)</f>
        <v>0</v>
      </c>
      <c r="M13" s="21" t="n">
        <f aca="false">IF(M6=0,-Total_Area*Land_Price_Per_Ha,0)</f>
        <v>0</v>
      </c>
      <c r="N13" s="21" t="n">
        <f aca="false">IF(N6=0,-Total_Area*Land_Price_Per_Ha,0)</f>
        <v>0</v>
      </c>
      <c r="O13" s="21" t="n">
        <f aca="false">IF(O6=0,-Total_Area*Land_Price_Per_Ha,0)</f>
        <v>0</v>
      </c>
      <c r="P13" s="21" t="n">
        <f aca="false">IF(P6=0,-Total_Area*Land_Price_Per_Ha,0)</f>
        <v>0</v>
      </c>
      <c r="Q13" s="21" t="n">
        <f aca="false">IF(Q6=0,-Total_Area*Land_Price_Per_Ha,0)</f>
        <v>0</v>
      </c>
      <c r="R13" s="21" t="n">
        <f aca="false">IF(R6=0,-Total_Area*Land_Price_Per_Ha,0)</f>
        <v>0</v>
      </c>
      <c r="S13" s="21" t="n">
        <f aca="false">IF(S6=0,-Total_Area*Land_Price_Per_Ha,0)</f>
        <v>0</v>
      </c>
      <c r="T13" s="21" t="n">
        <f aca="false">IF(T6=0,-Total_Area*Land_Price_Per_Ha,0)</f>
        <v>0</v>
      </c>
      <c r="U13" s="21" t="n">
        <f aca="false">IF(U6=0,-Total_Area*Land_Price_Per_Ha,0)</f>
        <v>0</v>
      </c>
      <c r="V13" s="21" t="n">
        <f aca="false">IF(V6=0,-Total_Area*Land_Price_Per_Ha,0)</f>
        <v>0</v>
      </c>
      <c r="W13" s="21" t="n">
        <f aca="false">IF(W6=0,-Total_Area*Land_Price_Per_Ha,0)</f>
        <v>0</v>
      </c>
      <c r="X13" s="21" t="n">
        <f aca="false">IF(X6=0,-Total_Area*Land_Price_Per_Ha,0)</f>
        <v>0</v>
      </c>
      <c r="Y13" s="21" t="n">
        <f aca="false">IF(Y6=0,-Total_Area*Land_Price_Per_Ha,0)</f>
        <v>0</v>
      </c>
      <c r="Z13" s="21" t="n">
        <f aca="false">IF(Z6=0,-Total_Area*Land_Price_Per_Ha,0)</f>
        <v>0</v>
      </c>
      <c r="AA13" s="21" t="n">
        <f aca="false">IF(AA6=0,-Total_Area*Land_Price_Per_Ha,0)</f>
        <v>0</v>
      </c>
      <c r="AB13" s="21" t="n">
        <f aca="false">IF(AB6=0,-Total_Area*Land_Price_Per_Ha,0)</f>
        <v>0</v>
      </c>
    </row>
    <row r="14" customFormat="false" ht="15" hidden="false" customHeight="false" outlineLevel="0" collapsed="false">
      <c r="B14" s="26" t="s">
        <v>232</v>
      </c>
      <c r="C14" s="21" t="n">
        <f aca="false">IF(C6=0,-Plantable_Area*Planting_Cost_Per_Ha,0)</f>
        <v>-10200000</v>
      </c>
      <c r="D14" s="21" t="n">
        <f aca="false">IF(D6=0,-Plantable_Area*Planting_Cost_Per_Ha,0)</f>
        <v>0</v>
      </c>
      <c r="E14" s="21" t="n">
        <f aca="false">IF(E6=0,-Plantable_Area*Planting_Cost_Per_Ha,0)</f>
        <v>0</v>
      </c>
      <c r="F14" s="21" t="n">
        <f aca="false">IF(F6=0,-Plantable_Area*Planting_Cost_Per_Ha,0)</f>
        <v>0</v>
      </c>
      <c r="G14" s="21" t="n">
        <f aca="false">IF(G6=0,-Plantable_Area*Planting_Cost_Per_Ha,0)</f>
        <v>0</v>
      </c>
      <c r="H14" s="21" t="n">
        <f aca="false">IF(H6=0,-Plantable_Area*Planting_Cost_Per_Ha,0)</f>
        <v>0</v>
      </c>
      <c r="I14" s="21" t="n">
        <f aca="false">IF(I6=0,-Plantable_Area*Planting_Cost_Per_Ha,0)</f>
        <v>0</v>
      </c>
      <c r="J14" s="21" t="n">
        <f aca="false">IF(J6=0,-Plantable_Area*Planting_Cost_Per_Ha,0)</f>
        <v>0</v>
      </c>
      <c r="K14" s="21" t="n">
        <f aca="false">IF(K6=0,-Plantable_Area*Planting_Cost_Per_Ha,0)</f>
        <v>0</v>
      </c>
      <c r="L14" s="21" t="n">
        <f aca="false">IF(L6=0,-Plantable_Area*Planting_Cost_Per_Ha,0)</f>
        <v>0</v>
      </c>
      <c r="M14" s="21" t="n">
        <f aca="false">IF(M6=0,-Plantable_Area*Planting_Cost_Per_Ha,0)</f>
        <v>0</v>
      </c>
      <c r="N14" s="21" t="n">
        <f aca="false">IF(N6=0,-Plantable_Area*Planting_Cost_Per_Ha,0)</f>
        <v>0</v>
      </c>
      <c r="O14" s="21" t="n">
        <f aca="false">IF(O6=0,-Plantable_Area*Planting_Cost_Per_Ha,0)</f>
        <v>0</v>
      </c>
      <c r="P14" s="21" t="n">
        <f aca="false">IF(P6=0,-Plantable_Area*Planting_Cost_Per_Ha,0)</f>
        <v>0</v>
      </c>
      <c r="Q14" s="21" t="n">
        <f aca="false">IF(Q6=0,-Plantable_Area*Planting_Cost_Per_Ha,0)</f>
        <v>0</v>
      </c>
      <c r="R14" s="21" t="n">
        <f aca="false">IF(R6=0,-Plantable_Area*Planting_Cost_Per_Ha,0)</f>
        <v>0</v>
      </c>
      <c r="S14" s="21" t="n">
        <f aca="false">IF(S6=0,-Plantable_Area*Planting_Cost_Per_Ha,0)</f>
        <v>0</v>
      </c>
      <c r="T14" s="21" t="n">
        <f aca="false">IF(T6=0,-Plantable_Area*Planting_Cost_Per_Ha,0)</f>
        <v>0</v>
      </c>
      <c r="U14" s="21" t="n">
        <f aca="false">IF(U6=0,-Plantable_Area*Planting_Cost_Per_Ha,0)</f>
        <v>0</v>
      </c>
      <c r="V14" s="21" t="n">
        <f aca="false">IF(V6=0,-Plantable_Area*Planting_Cost_Per_Ha,0)</f>
        <v>0</v>
      </c>
      <c r="W14" s="21" t="n">
        <f aca="false">IF(W6=0,-Plantable_Area*Planting_Cost_Per_Ha,0)</f>
        <v>0</v>
      </c>
      <c r="X14" s="21" t="n">
        <f aca="false">IF(X6=0,-Plantable_Area*Planting_Cost_Per_Ha,0)</f>
        <v>0</v>
      </c>
      <c r="Y14" s="21" t="n">
        <f aca="false">IF(Y6=0,-Plantable_Area*Planting_Cost_Per_Ha,0)</f>
        <v>0</v>
      </c>
      <c r="Z14" s="21" t="n">
        <f aca="false">IF(Z6=0,-Plantable_Area*Planting_Cost_Per_Ha,0)</f>
        <v>0</v>
      </c>
      <c r="AA14" s="21" t="n">
        <f aca="false">IF(AA6=0,-Plantable_Area*Planting_Cost_Per_Ha,0)</f>
        <v>0</v>
      </c>
      <c r="AB14" s="21" t="n">
        <f aca="false">IF(AB6=0,-Plantable_Area*Planting_Cost_Per_Ha,0)</f>
        <v>0</v>
      </c>
    </row>
    <row r="15" customFormat="false" ht="15" hidden="false" customHeight="false" outlineLevel="0" collapsed="false">
      <c r="B15" s="26" t="s">
        <v>233</v>
      </c>
      <c r="C15" s="21" t="n">
        <f aca="false">IF(C6=0,-Total_Area*Road_Capex_Per_Ha,0)</f>
        <v>-2500000</v>
      </c>
      <c r="D15" s="21" t="n">
        <f aca="false">IF(D6=0,-Total_Area*Road_Capex_Per_Ha,0)</f>
        <v>0</v>
      </c>
      <c r="E15" s="21" t="n">
        <f aca="false">IF(E6=0,-Total_Area*Road_Capex_Per_Ha,0)</f>
        <v>0</v>
      </c>
      <c r="F15" s="21" t="n">
        <f aca="false">IF(F6=0,-Total_Area*Road_Capex_Per_Ha,0)</f>
        <v>0</v>
      </c>
      <c r="G15" s="21" t="n">
        <f aca="false">IF(G6=0,-Total_Area*Road_Capex_Per_Ha,0)</f>
        <v>0</v>
      </c>
      <c r="H15" s="21" t="n">
        <f aca="false">IF(H6=0,-Total_Area*Road_Capex_Per_Ha,0)</f>
        <v>0</v>
      </c>
      <c r="I15" s="21" t="n">
        <f aca="false">IF(I6=0,-Total_Area*Road_Capex_Per_Ha,0)</f>
        <v>0</v>
      </c>
      <c r="J15" s="21" t="n">
        <f aca="false">IF(J6=0,-Total_Area*Road_Capex_Per_Ha,0)</f>
        <v>0</v>
      </c>
      <c r="K15" s="21" t="n">
        <f aca="false">IF(K6=0,-Total_Area*Road_Capex_Per_Ha,0)</f>
        <v>0</v>
      </c>
      <c r="L15" s="21" t="n">
        <f aca="false">IF(L6=0,-Total_Area*Road_Capex_Per_Ha,0)</f>
        <v>0</v>
      </c>
      <c r="M15" s="21" t="n">
        <f aca="false">IF(M6=0,-Total_Area*Road_Capex_Per_Ha,0)</f>
        <v>0</v>
      </c>
      <c r="N15" s="21" t="n">
        <f aca="false">IF(N6=0,-Total_Area*Road_Capex_Per_Ha,0)</f>
        <v>0</v>
      </c>
      <c r="O15" s="21" t="n">
        <f aca="false">IF(O6=0,-Total_Area*Road_Capex_Per_Ha,0)</f>
        <v>0</v>
      </c>
      <c r="P15" s="21" t="n">
        <f aca="false">IF(P6=0,-Total_Area*Road_Capex_Per_Ha,0)</f>
        <v>0</v>
      </c>
      <c r="Q15" s="21" t="n">
        <f aca="false">IF(Q6=0,-Total_Area*Road_Capex_Per_Ha,0)</f>
        <v>0</v>
      </c>
      <c r="R15" s="21" t="n">
        <f aca="false">IF(R6=0,-Total_Area*Road_Capex_Per_Ha,0)</f>
        <v>0</v>
      </c>
      <c r="S15" s="21" t="n">
        <f aca="false">IF(S6=0,-Total_Area*Road_Capex_Per_Ha,0)</f>
        <v>0</v>
      </c>
      <c r="T15" s="21" t="n">
        <f aca="false">IF(T6=0,-Total_Area*Road_Capex_Per_Ha,0)</f>
        <v>0</v>
      </c>
      <c r="U15" s="21" t="n">
        <f aca="false">IF(U6=0,-Total_Area*Road_Capex_Per_Ha,0)</f>
        <v>0</v>
      </c>
      <c r="V15" s="21" t="n">
        <f aca="false">IF(V6=0,-Total_Area*Road_Capex_Per_Ha,0)</f>
        <v>0</v>
      </c>
      <c r="W15" s="21" t="n">
        <f aca="false">IF(W6=0,-Total_Area*Road_Capex_Per_Ha,0)</f>
        <v>0</v>
      </c>
      <c r="X15" s="21" t="n">
        <f aca="false">IF(X6=0,-Total_Area*Road_Capex_Per_Ha,0)</f>
        <v>0</v>
      </c>
      <c r="Y15" s="21" t="n">
        <f aca="false">IF(Y6=0,-Total_Area*Road_Capex_Per_Ha,0)</f>
        <v>0</v>
      </c>
      <c r="Z15" s="21" t="n">
        <f aca="false">IF(Z6=0,-Total_Area*Road_Capex_Per_Ha,0)</f>
        <v>0</v>
      </c>
      <c r="AA15" s="21" t="n">
        <f aca="false">IF(AA6=0,-Total_Area*Road_Capex_Per_Ha,0)</f>
        <v>0</v>
      </c>
      <c r="AB15" s="21" t="n">
        <f aca="false">IF(AB6=0,-Total_Area*Road_Capex_Per_Ha,0)</f>
        <v>0</v>
      </c>
    </row>
    <row r="16" customFormat="false" ht="15" hidden="false" customHeight="false" outlineLevel="0" collapsed="false">
      <c r="B16" s="26" t="s">
        <v>234</v>
      </c>
      <c r="C16" s="27" t="n">
        <f aca="false">C13+C14+C15</f>
        <v>-37700000</v>
      </c>
      <c r="D16" s="27" t="n">
        <f aca="false">D13+D14+D15</f>
        <v>0</v>
      </c>
      <c r="E16" s="27" t="n">
        <f aca="false">E13+E14+E15</f>
        <v>0</v>
      </c>
      <c r="F16" s="27" t="n">
        <f aca="false">F13+F14+F15</f>
        <v>0</v>
      </c>
      <c r="G16" s="27" t="n">
        <f aca="false">G13+G14+G15</f>
        <v>0</v>
      </c>
      <c r="H16" s="27" t="n">
        <f aca="false">H13+H14+H15</f>
        <v>0</v>
      </c>
      <c r="I16" s="27" t="n">
        <f aca="false">I13+I14+I15</f>
        <v>0</v>
      </c>
      <c r="J16" s="27" t="n">
        <f aca="false">J13+J14+J15</f>
        <v>0</v>
      </c>
      <c r="K16" s="27" t="n">
        <f aca="false">K13+K14+K15</f>
        <v>0</v>
      </c>
      <c r="L16" s="27" t="n">
        <f aca="false">L13+L14+L15</f>
        <v>0</v>
      </c>
      <c r="M16" s="27" t="n">
        <f aca="false">M13+M14+M15</f>
        <v>0</v>
      </c>
      <c r="N16" s="27" t="n">
        <f aca="false">N13+N14+N15</f>
        <v>0</v>
      </c>
      <c r="O16" s="27" t="n">
        <f aca="false">O13+O14+O15</f>
        <v>0</v>
      </c>
      <c r="P16" s="27" t="n">
        <f aca="false">P13+P14+P15</f>
        <v>0</v>
      </c>
      <c r="Q16" s="27" t="n">
        <f aca="false">Q13+Q14+Q15</f>
        <v>0</v>
      </c>
      <c r="R16" s="27" t="n">
        <f aca="false">R13+R14+R15</f>
        <v>0</v>
      </c>
      <c r="S16" s="27" t="n">
        <f aca="false">S13+S14+S15</f>
        <v>0</v>
      </c>
      <c r="T16" s="27" t="n">
        <f aca="false">T13+T14+T15</f>
        <v>0</v>
      </c>
      <c r="U16" s="27" t="n">
        <f aca="false">U13+U14+U15</f>
        <v>0</v>
      </c>
      <c r="V16" s="27" t="n">
        <f aca="false">V13+V14+V15</f>
        <v>0</v>
      </c>
      <c r="W16" s="27" t="n">
        <f aca="false">W13+W14+W15</f>
        <v>0</v>
      </c>
      <c r="X16" s="27" t="n">
        <f aca="false">X13+X14+X15</f>
        <v>0</v>
      </c>
      <c r="Y16" s="27" t="n">
        <f aca="false">Y13+Y14+Y15</f>
        <v>0</v>
      </c>
      <c r="Z16" s="27" t="n">
        <f aca="false">Z13+Z14+Z15</f>
        <v>0</v>
      </c>
      <c r="AA16" s="27" t="n">
        <f aca="false">AA13+AA14+AA15</f>
        <v>0</v>
      </c>
      <c r="AB16" s="27" t="n">
        <f aca="false">AB13+AB14+AB15</f>
        <v>0</v>
      </c>
    </row>
    <row r="17" customFormat="false" ht="15" hidden="false" customHeight="false" outlineLevel="0" collapsed="false">
      <c r="B17" s="25" t="s">
        <v>235</v>
      </c>
      <c r="C17" s="8"/>
      <c r="D17" s="8"/>
      <c r="E17" s="8"/>
      <c r="F17" s="8"/>
      <c r="G17" s="8"/>
      <c r="H17" s="8"/>
      <c r="I17" s="8"/>
      <c r="J17" s="8"/>
      <c r="K17" s="8"/>
      <c r="L17" s="8"/>
      <c r="M17" s="8"/>
      <c r="N17" s="8"/>
      <c r="O17" s="8"/>
      <c r="P17" s="8"/>
      <c r="Q17" s="8"/>
      <c r="R17" s="8"/>
      <c r="S17" s="8"/>
      <c r="T17" s="8"/>
      <c r="U17" s="8"/>
      <c r="V17" s="8"/>
      <c r="W17" s="8"/>
      <c r="X17" s="8"/>
      <c r="Y17" s="8"/>
      <c r="Z17" s="8"/>
      <c r="AA17" s="8"/>
      <c r="AB17" s="8"/>
    </row>
    <row r="18" customFormat="false" ht="15" hidden="false" customHeight="false" outlineLevel="0" collapsed="false">
      <c r="B18" s="26" t="s">
        <v>236</v>
      </c>
      <c r="C18" s="21" t="n">
        <f aca="false">IF(C6=0,Senior_Debt_Draw,0)</f>
        <v>15080000</v>
      </c>
      <c r="D18" s="21" t="n">
        <f aca="false">IF(D6=0,Senior_Debt_Draw,0)</f>
        <v>0</v>
      </c>
      <c r="E18" s="21" t="n">
        <f aca="false">IF(E6=0,Senior_Debt_Draw,0)</f>
        <v>0</v>
      </c>
      <c r="F18" s="21" t="n">
        <f aca="false">IF(F6=0,Senior_Debt_Draw,0)</f>
        <v>0</v>
      </c>
      <c r="G18" s="21" t="n">
        <f aca="false">IF(G6=0,Senior_Debt_Draw,0)</f>
        <v>0</v>
      </c>
      <c r="H18" s="21" t="n">
        <f aca="false">IF(H6=0,Senior_Debt_Draw,0)</f>
        <v>0</v>
      </c>
      <c r="I18" s="21" t="n">
        <f aca="false">IF(I6=0,Senior_Debt_Draw,0)</f>
        <v>0</v>
      </c>
      <c r="J18" s="21" t="n">
        <f aca="false">IF(J6=0,Senior_Debt_Draw,0)</f>
        <v>0</v>
      </c>
      <c r="K18" s="21" t="n">
        <f aca="false">IF(K6=0,Senior_Debt_Draw,0)</f>
        <v>0</v>
      </c>
      <c r="L18" s="21" t="n">
        <f aca="false">IF(L6=0,Senior_Debt_Draw,0)</f>
        <v>0</v>
      </c>
      <c r="M18" s="21" t="n">
        <f aca="false">IF(M6=0,Senior_Debt_Draw,0)</f>
        <v>0</v>
      </c>
      <c r="N18" s="21" t="n">
        <f aca="false">IF(N6=0,Senior_Debt_Draw,0)</f>
        <v>0</v>
      </c>
      <c r="O18" s="21" t="n">
        <f aca="false">IF(O6=0,Senior_Debt_Draw,0)</f>
        <v>0</v>
      </c>
      <c r="P18" s="21" t="n">
        <f aca="false">IF(P6=0,Senior_Debt_Draw,0)</f>
        <v>0</v>
      </c>
      <c r="Q18" s="21" t="n">
        <f aca="false">IF(Q6=0,Senior_Debt_Draw,0)</f>
        <v>0</v>
      </c>
      <c r="R18" s="21" t="n">
        <f aca="false">IF(R6=0,Senior_Debt_Draw,0)</f>
        <v>0</v>
      </c>
      <c r="S18" s="21" t="n">
        <f aca="false">IF(S6=0,Senior_Debt_Draw,0)</f>
        <v>0</v>
      </c>
      <c r="T18" s="21" t="n">
        <f aca="false">IF(T6=0,Senior_Debt_Draw,0)</f>
        <v>0</v>
      </c>
      <c r="U18" s="21" t="n">
        <f aca="false">IF(U6=0,Senior_Debt_Draw,0)</f>
        <v>0</v>
      </c>
      <c r="V18" s="21" t="n">
        <f aca="false">IF(V6=0,Senior_Debt_Draw,0)</f>
        <v>0</v>
      </c>
      <c r="W18" s="21" t="n">
        <f aca="false">IF(W6=0,Senior_Debt_Draw,0)</f>
        <v>0</v>
      </c>
      <c r="X18" s="21" t="n">
        <f aca="false">IF(X6=0,Senior_Debt_Draw,0)</f>
        <v>0</v>
      </c>
      <c r="Y18" s="21" t="n">
        <f aca="false">IF(Y6=0,Senior_Debt_Draw,0)</f>
        <v>0</v>
      </c>
      <c r="Z18" s="21" t="n">
        <f aca="false">IF(Z6=0,Senior_Debt_Draw,0)</f>
        <v>0</v>
      </c>
      <c r="AA18" s="21" t="n">
        <f aca="false">IF(AA6=0,Senior_Debt_Draw,0)</f>
        <v>0</v>
      </c>
      <c r="AB18" s="21" t="n">
        <f aca="false">IF(AB6=0,Senior_Debt_Draw,0)</f>
        <v>0</v>
      </c>
    </row>
    <row r="19" customFormat="false" ht="15" hidden="false" customHeight="false" outlineLevel="0" collapsed="false">
      <c r="B19" s="26" t="s">
        <v>237</v>
      </c>
      <c r="C19" s="21" t="n">
        <f aca="false">IF(C6=0,Equity_Contribution,IF(AND(C6&gt;=1,C6&lt;Rotation_Length),Annual_Equity_Call,0))</f>
        <v>22620000</v>
      </c>
      <c r="D19" s="21" t="n">
        <f aca="false">IF(D6=0,Equity_Contribution,IF(AND(D6&gt;=1,D6&lt;Rotation_Length),Annual_Equity_Call,0))</f>
        <v>2405200</v>
      </c>
      <c r="E19" s="21" t="n">
        <f aca="false">IF(E6=0,Equity_Contribution,IF(AND(E6&gt;=1,E6&lt;Rotation_Length),Annual_Equity_Call,0))</f>
        <v>2405200</v>
      </c>
      <c r="F19" s="21" t="n">
        <f aca="false">IF(F6=0,Equity_Contribution,IF(AND(F6&gt;=1,F6&lt;Rotation_Length),Annual_Equity_Call,0))</f>
        <v>2405200</v>
      </c>
      <c r="G19" s="21" t="n">
        <f aca="false">IF(G6=0,Equity_Contribution,IF(AND(G6&gt;=1,G6&lt;Rotation_Length),Annual_Equity_Call,0))</f>
        <v>2405200</v>
      </c>
      <c r="H19" s="21" t="n">
        <f aca="false">IF(H6=0,Equity_Contribution,IF(AND(H6&gt;=1,H6&lt;Rotation_Length),Annual_Equity_Call,0))</f>
        <v>2405200</v>
      </c>
      <c r="I19" s="21" t="n">
        <f aca="false">IF(I6=0,Equity_Contribution,IF(AND(I6&gt;=1,I6&lt;Rotation_Length),Annual_Equity_Call,0))</f>
        <v>2405200</v>
      </c>
      <c r="J19" s="21" t="n">
        <f aca="false">IF(J6=0,Equity_Contribution,IF(AND(J6&gt;=1,J6&lt;Rotation_Length),Annual_Equity_Call,0))</f>
        <v>2405200</v>
      </c>
      <c r="K19" s="21" t="n">
        <f aca="false">IF(K6=0,Equity_Contribution,IF(AND(K6&gt;=1,K6&lt;Rotation_Length),Annual_Equity_Call,0))</f>
        <v>2405200</v>
      </c>
      <c r="L19" s="21" t="n">
        <f aca="false">IF(L6=0,Equity_Contribution,IF(AND(L6&gt;=1,L6&lt;Rotation_Length),Annual_Equity_Call,0))</f>
        <v>2405200</v>
      </c>
      <c r="M19" s="21" t="n">
        <f aca="false">IF(M6=0,Equity_Contribution,IF(AND(M6&gt;=1,M6&lt;Rotation_Length),Annual_Equity_Call,0))</f>
        <v>2405200</v>
      </c>
      <c r="N19" s="21" t="n">
        <f aca="false">IF(N6=0,Equity_Contribution,IF(AND(N6&gt;=1,N6&lt;Rotation_Length),Annual_Equity_Call,0))</f>
        <v>2405200</v>
      </c>
      <c r="O19" s="21" t="n">
        <f aca="false">IF(O6=0,Equity_Contribution,IF(AND(O6&gt;=1,O6&lt;Rotation_Length),Annual_Equity_Call,0))</f>
        <v>2405200</v>
      </c>
      <c r="P19" s="21" t="n">
        <f aca="false">IF(P6=0,Equity_Contribution,IF(AND(P6&gt;=1,P6&lt;Rotation_Length),Annual_Equity_Call,0))</f>
        <v>2405200</v>
      </c>
      <c r="Q19" s="21" t="n">
        <f aca="false">IF(Q6=0,Equity_Contribution,IF(AND(Q6&gt;=1,Q6&lt;Rotation_Length),Annual_Equity_Call,0))</f>
        <v>2405200</v>
      </c>
      <c r="R19" s="21" t="n">
        <f aca="false">IF(R6=0,Equity_Contribution,IF(AND(R6&gt;=1,R6&lt;Rotation_Length),Annual_Equity_Call,0))</f>
        <v>2405200</v>
      </c>
      <c r="S19" s="21" t="n">
        <f aca="false">IF(S6=0,Equity_Contribution,IF(AND(S6&gt;=1,S6&lt;Rotation_Length),Annual_Equity_Call,0))</f>
        <v>2405200</v>
      </c>
      <c r="T19" s="21" t="n">
        <f aca="false">IF(T6=0,Equity_Contribution,IF(AND(T6&gt;=1,T6&lt;Rotation_Length),Annual_Equity_Call,0))</f>
        <v>2405200</v>
      </c>
      <c r="U19" s="21" t="n">
        <f aca="false">IF(U6=0,Equity_Contribution,IF(AND(U6&gt;=1,U6&lt;Rotation_Length),Annual_Equity_Call,0))</f>
        <v>2405200</v>
      </c>
      <c r="V19" s="21" t="n">
        <f aca="false">IF(V6=0,Equity_Contribution,IF(AND(V6&gt;=1,V6&lt;Rotation_Length),Annual_Equity_Call,0))</f>
        <v>2405200</v>
      </c>
      <c r="W19" s="21" t="n">
        <f aca="false">IF(W6=0,Equity_Contribution,IF(AND(W6&gt;=1,W6&lt;Rotation_Length),Annual_Equity_Call,0))</f>
        <v>2405200</v>
      </c>
      <c r="X19" s="21" t="n">
        <f aca="false">IF(X6=0,Equity_Contribution,IF(AND(X6&gt;=1,X6&lt;Rotation_Length),Annual_Equity_Call,0))</f>
        <v>2405200</v>
      </c>
      <c r="Y19" s="21" t="n">
        <f aca="false">IF(Y6=0,Equity_Contribution,IF(AND(Y6&gt;=1,Y6&lt;Rotation_Length),Annual_Equity_Call,0))</f>
        <v>2405200</v>
      </c>
      <c r="Z19" s="21" t="n">
        <f aca="false">IF(Z6=0,Equity_Contribution,IF(AND(Z6&gt;=1,Z6&lt;Rotation_Length),Annual_Equity_Call,0))</f>
        <v>2405200</v>
      </c>
      <c r="AA19" s="21" t="n">
        <f aca="false">IF(AA6=0,Equity_Contribution,IF(AND(AA6&gt;=1,AA6&lt;Rotation_Length),Annual_Equity_Call,0))</f>
        <v>2405200</v>
      </c>
      <c r="AB19" s="21" t="n">
        <f aca="false">IF(AB6=0,Equity_Contribution,IF(AND(AB6&gt;=1,AB6&lt;Rotation_Length),Annual_Equity_Call,0))</f>
        <v>0</v>
      </c>
    </row>
    <row r="20" customFormat="false" ht="15" hidden="false" customHeight="false" outlineLevel="0" collapsed="false">
      <c r="B20" s="26" t="s">
        <v>238</v>
      </c>
      <c r="C20" s="21" t="n">
        <f aca="false">-Debt_Schedule!C11</f>
        <v>-0</v>
      </c>
      <c r="D20" s="21" t="n">
        <f aca="false">-Debt_Schedule!D11</f>
        <v>-0</v>
      </c>
      <c r="E20" s="21" t="n">
        <f aca="false">-Debt_Schedule!E11</f>
        <v>-0</v>
      </c>
      <c r="F20" s="21" t="n">
        <f aca="false">-Debt_Schedule!F11</f>
        <v>-0</v>
      </c>
      <c r="G20" s="21" t="n">
        <f aca="false">-Debt_Schedule!G11</f>
        <v>-0</v>
      </c>
      <c r="H20" s="21" t="n">
        <f aca="false">-Debt_Schedule!H11</f>
        <v>-0</v>
      </c>
      <c r="I20" s="21" t="n">
        <f aca="false">-Debt_Schedule!I11</f>
        <v>-0</v>
      </c>
      <c r="J20" s="21" t="n">
        <f aca="false">-Debt_Schedule!J11</f>
        <v>-0</v>
      </c>
      <c r="K20" s="21" t="n">
        <f aca="false">-Debt_Schedule!K11</f>
        <v>-0</v>
      </c>
      <c r="L20" s="21" t="n">
        <f aca="false">-Debt_Schedule!L11</f>
        <v>-0</v>
      </c>
      <c r="M20" s="21" t="n">
        <f aca="false">-Debt_Schedule!M11</f>
        <v>-0</v>
      </c>
      <c r="N20" s="21" t="n">
        <f aca="false">-Debt_Schedule!N11</f>
        <v>-0</v>
      </c>
      <c r="O20" s="21" t="n">
        <f aca="false">-Debt_Schedule!O11</f>
        <v>-0</v>
      </c>
      <c r="P20" s="21" t="n">
        <f aca="false">-Debt_Schedule!P11</f>
        <v>-0</v>
      </c>
      <c r="Q20" s="21" t="n">
        <f aca="false">-Debt_Schedule!Q11</f>
        <v>-0</v>
      </c>
      <c r="R20" s="21" t="n">
        <f aca="false">-Debt_Schedule!R11</f>
        <v>-0</v>
      </c>
      <c r="S20" s="21" t="n">
        <f aca="false">-Debt_Schedule!S11</f>
        <v>-0</v>
      </c>
      <c r="T20" s="21" t="n">
        <f aca="false">-Debt_Schedule!T11</f>
        <v>-0</v>
      </c>
      <c r="U20" s="21" t="n">
        <f aca="false">-Debt_Schedule!U11</f>
        <v>-0</v>
      </c>
      <c r="V20" s="21" t="n">
        <f aca="false">-Debt_Schedule!V11</f>
        <v>-0</v>
      </c>
      <c r="W20" s="21" t="n">
        <f aca="false">-Debt_Schedule!W11</f>
        <v>-0</v>
      </c>
      <c r="X20" s="21" t="n">
        <f aca="false">-Debt_Schedule!X11</f>
        <v>-0</v>
      </c>
      <c r="Y20" s="21" t="n">
        <f aca="false">-Debt_Schedule!Y11</f>
        <v>-0</v>
      </c>
      <c r="Z20" s="21" t="n">
        <f aca="false">-Debt_Schedule!Z11</f>
        <v>-0</v>
      </c>
      <c r="AA20" s="21" t="n">
        <f aca="false">-Debt_Schedule!AA11</f>
        <v>-0</v>
      </c>
      <c r="AB20" s="21" t="n">
        <f aca="false">-Debt_Schedule!AB11</f>
        <v>-15080000</v>
      </c>
    </row>
    <row r="21" customFormat="false" ht="15" hidden="false" customHeight="false" outlineLevel="0" collapsed="false">
      <c r="B21" s="26" t="s">
        <v>239</v>
      </c>
      <c r="C21" s="21" t="n">
        <f aca="false">-Income_Statement!C38</f>
        <v>-0</v>
      </c>
      <c r="D21" s="21" t="n">
        <f aca="false">-Income_Statement!D38</f>
        <v>-0</v>
      </c>
      <c r="E21" s="21" t="n">
        <f aca="false">-Income_Statement!E38</f>
        <v>-0</v>
      </c>
      <c r="F21" s="21" t="n">
        <f aca="false">-Income_Statement!F38</f>
        <v>-0</v>
      </c>
      <c r="G21" s="21" t="n">
        <f aca="false">-Income_Statement!G38</f>
        <v>-0</v>
      </c>
      <c r="H21" s="21" t="n">
        <f aca="false">-Income_Statement!H38</f>
        <v>-0</v>
      </c>
      <c r="I21" s="21" t="n">
        <f aca="false">-Income_Statement!I38</f>
        <v>-0</v>
      </c>
      <c r="J21" s="21" t="n">
        <f aca="false">-Income_Statement!J38</f>
        <v>-0</v>
      </c>
      <c r="K21" s="21" t="n">
        <f aca="false">-Income_Statement!K38</f>
        <v>-0</v>
      </c>
      <c r="L21" s="21" t="n">
        <f aca="false">-Income_Statement!L38</f>
        <v>-0</v>
      </c>
      <c r="M21" s="21" t="n">
        <f aca="false">-Income_Statement!M38</f>
        <v>-0</v>
      </c>
      <c r="N21" s="21" t="n">
        <f aca="false">-Income_Statement!N38</f>
        <v>-0</v>
      </c>
      <c r="O21" s="21" t="n">
        <f aca="false">-Income_Statement!O38</f>
        <v>-0</v>
      </c>
      <c r="P21" s="21" t="n">
        <f aca="false">-Income_Statement!P38</f>
        <v>-0</v>
      </c>
      <c r="Q21" s="21" t="n">
        <f aca="false">-Income_Statement!Q38</f>
        <v>-0</v>
      </c>
      <c r="R21" s="21" t="n">
        <f aca="false">-Income_Statement!R38</f>
        <v>-0</v>
      </c>
      <c r="S21" s="21" t="n">
        <f aca="false">-Income_Statement!S38</f>
        <v>-0</v>
      </c>
      <c r="T21" s="21" t="n">
        <f aca="false">-Income_Statement!T38</f>
        <v>-0</v>
      </c>
      <c r="U21" s="21" t="n">
        <f aca="false">-Income_Statement!U38</f>
        <v>-0</v>
      </c>
      <c r="V21" s="21" t="n">
        <f aca="false">-Income_Statement!V38</f>
        <v>-0</v>
      </c>
      <c r="W21" s="21" t="n">
        <f aca="false">-Income_Statement!W38</f>
        <v>-0</v>
      </c>
      <c r="X21" s="21" t="n">
        <f aca="false">-Income_Statement!X38</f>
        <v>-0</v>
      </c>
      <c r="Y21" s="21" t="n">
        <f aca="false">-Income_Statement!Y38</f>
        <v>-0</v>
      </c>
      <c r="Z21" s="21" t="n">
        <f aca="false">-Income_Statement!Z38</f>
        <v>-0</v>
      </c>
      <c r="AA21" s="21" t="n">
        <f aca="false">-Income_Statement!AA38</f>
        <v>-0</v>
      </c>
      <c r="AB21" s="21" t="n">
        <f aca="false">-Income_Statement!AB38</f>
        <v>-133999027.105491</v>
      </c>
    </row>
    <row r="22" customFormat="false" ht="15" hidden="false" customHeight="false" outlineLevel="0" collapsed="false">
      <c r="B22" s="26" t="s">
        <v>240</v>
      </c>
      <c r="C22" s="27" t="n">
        <f aca="false">C18+C19+C20+C21</f>
        <v>37700000</v>
      </c>
      <c r="D22" s="27" t="n">
        <f aca="false">D18+D19+D20+D21</f>
        <v>2405200</v>
      </c>
      <c r="E22" s="27" t="n">
        <f aca="false">E18+E19+E20+E21</f>
        <v>2405200</v>
      </c>
      <c r="F22" s="27" t="n">
        <f aca="false">F18+F19+F20+F21</f>
        <v>2405200</v>
      </c>
      <c r="G22" s="27" t="n">
        <f aca="false">G18+G19+G20+G21</f>
        <v>2405200</v>
      </c>
      <c r="H22" s="27" t="n">
        <f aca="false">H18+H19+H20+H21</f>
        <v>2405200</v>
      </c>
      <c r="I22" s="27" t="n">
        <f aca="false">I18+I19+I20+I21</f>
        <v>2405200</v>
      </c>
      <c r="J22" s="27" t="n">
        <f aca="false">J18+J19+J20+J21</f>
        <v>2405200</v>
      </c>
      <c r="K22" s="27" t="n">
        <f aca="false">K18+K19+K20+K21</f>
        <v>2405200</v>
      </c>
      <c r="L22" s="27" t="n">
        <f aca="false">L18+L19+L20+L21</f>
        <v>2405200</v>
      </c>
      <c r="M22" s="27" t="n">
        <f aca="false">M18+M19+M20+M21</f>
        <v>2405200</v>
      </c>
      <c r="N22" s="27" t="n">
        <f aca="false">N18+N19+N20+N21</f>
        <v>2405200</v>
      </c>
      <c r="O22" s="27" t="n">
        <f aca="false">O18+O19+O20+O21</f>
        <v>2405200</v>
      </c>
      <c r="P22" s="27" t="n">
        <f aca="false">P18+P19+P20+P21</f>
        <v>2405200</v>
      </c>
      <c r="Q22" s="27" t="n">
        <f aca="false">Q18+Q19+Q20+Q21</f>
        <v>2405200</v>
      </c>
      <c r="R22" s="27" t="n">
        <f aca="false">R18+R19+R20+R21</f>
        <v>2405200</v>
      </c>
      <c r="S22" s="27" t="n">
        <f aca="false">S18+S19+S20+S21</f>
        <v>2405200</v>
      </c>
      <c r="T22" s="27" t="n">
        <f aca="false">T18+T19+T20+T21</f>
        <v>2405200</v>
      </c>
      <c r="U22" s="27" t="n">
        <f aca="false">U18+U19+U20+U21</f>
        <v>2405200</v>
      </c>
      <c r="V22" s="27" t="n">
        <f aca="false">V18+V19+V20+V21</f>
        <v>2405200</v>
      </c>
      <c r="W22" s="27" t="n">
        <f aca="false">W18+W19+W20+W21</f>
        <v>2405200</v>
      </c>
      <c r="X22" s="27" t="n">
        <f aca="false">X18+X19+X20+X21</f>
        <v>2405200</v>
      </c>
      <c r="Y22" s="27" t="n">
        <f aca="false">Y18+Y19+Y20+Y21</f>
        <v>2405200</v>
      </c>
      <c r="Z22" s="27" t="n">
        <f aca="false">Z18+Z19+Z20+Z21</f>
        <v>2405200</v>
      </c>
      <c r="AA22" s="27" t="n">
        <f aca="false">AA18+AA19+AA20+AA21</f>
        <v>2405200</v>
      </c>
      <c r="AB22" s="27" t="n">
        <f aca="false">AB18+AB19+AB20+AB21</f>
        <v>-149079027.105491</v>
      </c>
    </row>
    <row r="23" customFormat="false" ht="15" hidden="false" customHeight="false" outlineLevel="0" collapsed="false">
      <c r="B23" s="25" t="s">
        <v>241</v>
      </c>
      <c r="C23" s="8"/>
      <c r="D23" s="8"/>
      <c r="E23" s="8"/>
      <c r="F23" s="8"/>
      <c r="G23" s="8"/>
      <c r="H23" s="8"/>
      <c r="I23" s="8"/>
      <c r="J23" s="8"/>
      <c r="K23" s="8"/>
      <c r="L23" s="8"/>
      <c r="M23" s="8"/>
      <c r="N23" s="8"/>
      <c r="O23" s="8"/>
      <c r="P23" s="8"/>
      <c r="Q23" s="8"/>
      <c r="R23" s="8"/>
      <c r="S23" s="8"/>
      <c r="T23" s="8"/>
      <c r="U23" s="8"/>
      <c r="V23" s="8"/>
      <c r="W23" s="8"/>
      <c r="X23" s="8"/>
      <c r="Y23" s="8"/>
      <c r="Z23" s="8"/>
      <c r="AA23" s="8"/>
      <c r="AB23" s="8"/>
    </row>
    <row r="24" customFormat="false" ht="15" hidden="false" customHeight="false" outlineLevel="0" collapsed="false">
      <c r="B24" s="26" t="s">
        <v>242</v>
      </c>
      <c r="C24" s="31" t="n">
        <f aca="false">C11+C16+C22</f>
        <v>0</v>
      </c>
      <c r="D24" s="31" t="n">
        <f aca="false">D11+D16+D22</f>
        <v>289525</v>
      </c>
      <c r="E24" s="31" t="n">
        <f aca="false">E11+E16+E22</f>
        <v>267831.875</v>
      </c>
      <c r="F24" s="31" t="n">
        <f aca="false">F11+F16+F22</f>
        <v>245931.109375</v>
      </c>
      <c r="G24" s="31" t="n">
        <f aca="false">G11+G16+G22</f>
        <v>223834.246484376</v>
      </c>
      <c r="H24" s="31" t="n">
        <f aca="false">H11+H16+H22</f>
        <v>937078.785072035</v>
      </c>
      <c r="I24" s="31" t="n">
        <f aca="false">I11+I16+I22</f>
        <v>929339.425509365</v>
      </c>
      <c r="J24" s="31" t="n">
        <f aca="false">J11+J16+J22</f>
        <v>921739.844222666</v>
      </c>
      <c r="K24" s="31" t="n">
        <f aca="false">K11+K16+K22</f>
        <v>914302.405356581</v>
      </c>
      <c r="L24" s="31" t="n">
        <f aca="false">L11+L16+L22</f>
        <v>907051.019775244</v>
      </c>
      <c r="M24" s="31" t="n">
        <f aca="false">M11+M16+M22</f>
        <v>900011.233993693</v>
      </c>
      <c r="N24" s="31" t="n">
        <f aca="false">N11+N16+N22</f>
        <v>893210.32386339</v>
      </c>
      <c r="O24" s="31" t="n">
        <f aca="false">O11+O16+O22</f>
        <v>886677.393257598</v>
      </c>
      <c r="P24" s="31" t="n">
        <f aca="false">P11+P16+P22</f>
        <v>880443.478014854</v>
      </c>
      <c r="Q24" s="31" t="n">
        <f aca="false">Q11+Q16+Q22</f>
        <v>874541.655411909</v>
      </c>
      <c r="R24" s="31" t="n">
        <f aca="false">R11+R16+R22</f>
        <v>869007.159451293</v>
      </c>
      <c r="S24" s="31" t="n">
        <f aca="false">S11+S16+S22</f>
        <v>863877.502263136</v>
      </c>
      <c r="T24" s="31" t="n">
        <f aca="false">T11+T16+T22</f>
        <v>859192.6019361</v>
      </c>
      <c r="U24" s="31" t="n">
        <f aca="false">U11+U16+U22</f>
        <v>854994.917108243</v>
      </c>
      <c r="V24" s="31" t="n">
        <f aca="false">V11+V16+V22</f>
        <v>851329.588665444</v>
      </c>
      <c r="W24" s="31" t="n">
        <f aca="false">W11+W16+W22</f>
        <v>848244.588912608</v>
      </c>
      <c r="X24" s="31" t="n">
        <f aca="false">X11+X16+X22</f>
        <v>845790.878601427</v>
      </c>
      <c r="Y24" s="31" t="n">
        <f aca="false">Y11+Y16+Y22</f>
        <v>844022.572217896</v>
      </c>
      <c r="Z24" s="31" t="n">
        <f aca="false">Z11+Z16+Z22</f>
        <v>842997.111953221</v>
      </c>
      <c r="AA24" s="31" t="n">
        <f aca="false">AA11+AA16+AA22</f>
        <v>842775.45080321</v>
      </c>
      <c r="AB24" s="31" t="n">
        <f aca="false">AB11+AB16+AB22</f>
        <v>-15080000</v>
      </c>
    </row>
    <row r="25" customFormat="false" ht="15" hidden="false" customHeight="false" outlineLevel="0" collapsed="false">
      <c r="B25" s="6" t="s">
        <v>243</v>
      </c>
      <c r="C25" s="21" t="n">
        <f aca="false">0</f>
        <v>0</v>
      </c>
      <c r="D25" s="21" t="n">
        <f aca="false">C26</f>
        <v>0</v>
      </c>
      <c r="E25" s="21" t="n">
        <f aca="false">D26</f>
        <v>289525</v>
      </c>
      <c r="F25" s="21" t="n">
        <f aca="false">E26</f>
        <v>557356.875</v>
      </c>
      <c r="G25" s="21" t="n">
        <f aca="false">F26</f>
        <v>803287.984375001</v>
      </c>
      <c r="H25" s="21" t="n">
        <f aca="false">G26</f>
        <v>1027122.23085938</v>
      </c>
      <c r="I25" s="21" t="n">
        <f aca="false">H26</f>
        <v>1964201.01593141</v>
      </c>
      <c r="J25" s="21" t="n">
        <f aca="false">I26</f>
        <v>2893540.44144078</v>
      </c>
      <c r="K25" s="21" t="n">
        <f aca="false">J26</f>
        <v>3815280.28566344</v>
      </c>
      <c r="L25" s="21" t="n">
        <f aca="false">K26</f>
        <v>4729582.69102002</v>
      </c>
      <c r="M25" s="21" t="n">
        <f aca="false">L26</f>
        <v>5636633.71079527</v>
      </c>
      <c r="N25" s="21" t="n">
        <f aca="false">M26</f>
        <v>6536644.94478896</v>
      </c>
      <c r="O25" s="21" t="n">
        <f aca="false">N26</f>
        <v>7429855.26865235</v>
      </c>
      <c r="P25" s="21" t="n">
        <f aca="false">O26</f>
        <v>8316532.66190995</v>
      </c>
      <c r="Q25" s="21" t="n">
        <f aca="false">P26</f>
        <v>9196976.1399248</v>
      </c>
      <c r="R25" s="21" t="n">
        <f aca="false">Q26</f>
        <v>10071517.7953367</v>
      </c>
      <c r="S25" s="21" t="n">
        <f aca="false">R26</f>
        <v>10940524.954788</v>
      </c>
      <c r="T25" s="21" t="n">
        <f aca="false">S26</f>
        <v>11804402.4570511</v>
      </c>
      <c r="U25" s="21" t="n">
        <f aca="false">T26</f>
        <v>12663595.0589872</v>
      </c>
      <c r="V25" s="21" t="n">
        <f aca="false">U26</f>
        <v>13518589.9760955</v>
      </c>
      <c r="W25" s="21" t="n">
        <f aca="false">V26</f>
        <v>14369919.5647609</v>
      </c>
      <c r="X25" s="21" t="n">
        <f aca="false">W26</f>
        <v>15218164.1536735</v>
      </c>
      <c r="Y25" s="21" t="n">
        <f aca="false">X26</f>
        <v>16063955.032275</v>
      </c>
      <c r="Z25" s="21" t="n">
        <f aca="false">Y26</f>
        <v>16907977.6044929</v>
      </c>
      <c r="AA25" s="21" t="n">
        <f aca="false">Z26</f>
        <v>17750974.7164461</v>
      </c>
      <c r="AB25" s="21" t="n">
        <f aca="false">AA26</f>
        <v>18593750.1672493</v>
      </c>
    </row>
    <row r="26" customFormat="false" ht="15" hidden="false" customHeight="false" outlineLevel="0" collapsed="false">
      <c r="B26" s="26" t="s">
        <v>244</v>
      </c>
      <c r="C26" s="29" t="n">
        <f aca="false">C25+C24</f>
        <v>0</v>
      </c>
      <c r="D26" s="29" t="n">
        <f aca="false">D25+D24</f>
        <v>289525</v>
      </c>
      <c r="E26" s="29" t="n">
        <f aca="false">E25+E24</f>
        <v>557356.875</v>
      </c>
      <c r="F26" s="29" t="n">
        <f aca="false">F25+F24</f>
        <v>803287.984375001</v>
      </c>
      <c r="G26" s="29" t="n">
        <f aca="false">G25+G24</f>
        <v>1027122.23085938</v>
      </c>
      <c r="H26" s="29" t="n">
        <f aca="false">H25+H24</f>
        <v>1964201.01593141</v>
      </c>
      <c r="I26" s="29" t="n">
        <f aca="false">I25+I24</f>
        <v>2893540.44144078</v>
      </c>
      <c r="J26" s="29" t="n">
        <f aca="false">J25+J24</f>
        <v>3815280.28566344</v>
      </c>
      <c r="K26" s="29" t="n">
        <f aca="false">K25+K24</f>
        <v>4729582.69102002</v>
      </c>
      <c r="L26" s="29" t="n">
        <f aca="false">L25+L24</f>
        <v>5636633.71079527</v>
      </c>
      <c r="M26" s="29" t="n">
        <f aca="false">M25+M24</f>
        <v>6536644.94478896</v>
      </c>
      <c r="N26" s="29" t="n">
        <f aca="false">N25+N24</f>
        <v>7429855.26865235</v>
      </c>
      <c r="O26" s="29" t="n">
        <f aca="false">O25+O24</f>
        <v>8316532.66190995</v>
      </c>
      <c r="P26" s="29" t="n">
        <f aca="false">P25+P24</f>
        <v>9196976.1399248</v>
      </c>
      <c r="Q26" s="29" t="n">
        <f aca="false">Q25+Q24</f>
        <v>10071517.7953367</v>
      </c>
      <c r="R26" s="29" t="n">
        <f aca="false">R25+R24</f>
        <v>10940524.954788</v>
      </c>
      <c r="S26" s="29" t="n">
        <f aca="false">S25+S24</f>
        <v>11804402.4570511</v>
      </c>
      <c r="T26" s="29" t="n">
        <f aca="false">T25+T24</f>
        <v>12663595.0589872</v>
      </c>
      <c r="U26" s="29" t="n">
        <f aca="false">U25+U24</f>
        <v>13518589.9760955</v>
      </c>
      <c r="V26" s="29" t="n">
        <f aca="false">V25+V24</f>
        <v>14369919.5647609</v>
      </c>
      <c r="W26" s="29" t="n">
        <f aca="false">W25+W24</f>
        <v>15218164.1536735</v>
      </c>
      <c r="X26" s="29" t="n">
        <f aca="false">X25+X24</f>
        <v>16063955.032275</v>
      </c>
      <c r="Y26" s="29" t="n">
        <f aca="false">Y25+Y24</f>
        <v>16907977.6044929</v>
      </c>
      <c r="Z26" s="29" t="n">
        <f aca="false">Z25+Z24</f>
        <v>17750974.7164461</v>
      </c>
      <c r="AA26" s="29" t="n">
        <f aca="false">AA25+AA24</f>
        <v>18593750.1672493</v>
      </c>
      <c r="AB26" s="29" t="n">
        <f aca="false">AB25+AB24</f>
        <v>3513750.16724929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28"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20</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245</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C5" s="23" t="n">
        <f aca="false">Model_Start_Year+0</f>
        <v>2025</v>
      </c>
      <c r="D5" s="23" t="n">
        <f aca="false">Model_Start_Year+1</f>
        <v>2026</v>
      </c>
      <c r="E5" s="23" t="n">
        <f aca="false">Model_Start_Year+2</f>
        <v>2027</v>
      </c>
      <c r="F5" s="23" t="n">
        <f aca="false">Model_Start_Year+3</f>
        <v>2028</v>
      </c>
      <c r="G5" s="23" t="n">
        <f aca="false">Model_Start_Year+4</f>
        <v>2029</v>
      </c>
      <c r="H5" s="23" t="n">
        <f aca="false">Model_Start_Year+5</f>
        <v>2030</v>
      </c>
      <c r="I5" s="23" t="n">
        <f aca="false">Model_Start_Year+6</f>
        <v>2031</v>
      </c>
      <c r="J5" s="23" t="n">
        <f aca="false">Model_Start_Year+7</f>
        <v>2032</v>
      </c>
      <c r="K5" s="23" t="n">
        <f aca="false">Model_Start_Year+8</f>
        <v>2033</v>
      </c>
      <c r="L5" s="23" t="n">
        <f aca="false">Model_Start_Year+9</f>
        <v>2034</v>
      </c>
      <c r="M5" s="23" t="n">
        <f aca="false">Model_Start_Year+10</f>
        <v>2035</v>
      </c>
      <c r="N5" s="23" t="n">
        <f aca="false">Model_Start_Year+11</f>
        <v>2036</v>
      </c>
      <c r="O5" s="23" t="n">
        <f aca="false">Model_Start_Year+12</f>
        <v>2037</v>
      </c>
      <c r="P5" s="23" t="n">
        <f aca="false">Model_Start_Year+13</f>
        <v>2038</v>
      </c>
      <c r="Q5" s="23" t="n">
        <f aca="false">Model_Start_Year+14</f>
        <v>2039</v>
      </c>
      <c r="R5" s="23" t="n">
        <f aca="false">Model_Start_Year+15</f>
        <v>2040</v>
      </c>
      <c r="S5" s="23" t="n">
        <f aca="false">Model_Start_Year+16</f>
        <v>2041</v>
      </c>
      <c r="T5" s="23" t="n">
        <f aca="false">Model_Start_Year+17</f>
        <v>2042</v>
      </c>
      <c r="U5" s="23" t="n">
        <f aca="false">Model_Start_Year+18</f>
        <v>2043</v>
      </c>
      <c r="V5" s="23" t="n">
        <f aca="false">Model_Start_Year+19</f>
        <v>2044</v>
      </c>
      <c r="W5" s="23" t="n">
        <f aca="false">Model_Start_Year+20</f>
        <v>2045</v>
      </c>
      <c r="X5" s="23" t="n">
        <f aca="false">Model_Start_Year+21</f>
        <v>2046</v>
      </c>
      <c r="Y5" s="23" t="n">
        <f aca="false">Model_Start_Year+22</f>
        <v>2047</v>
      </c>
      <c r="Z5" s="23" t="n">
        <f aca="false">Model_Start_Year+23</f>
        <v>2048</v>
      </c>
      <c r="AA5" s="23" t="n">
        <f aca="false">Model_Start_Year+24</f>
        <v>2049</v>
      </c>
      <c r="AB5" s="23" t="n">
        <f aca="false">Model_Start_Year+25</f>
        <v>2050</v>
      </c>
    </row>
    <row r="6" customFormat="false" ht="15" hidden="false" customHeight="false" outlineLevel="0" collapsed="false">
      <c r="C6" s="24" t="n">
        <v>0</v>
      </c>
      <c r="D6" s="24" t="n">
        <v>1</v>
      </c>
      <c r="E6" s="24" t="n">
        <v>2</v>
      </c>
      <c r="F6" s="24" t="n">
        <v>3</v>
      </c>
      <c r="G6" s="24" t="n">
        <v>4</v>
      </c>
      <c r="H6" s="24" t="n">
        <v>5</v>
      </c>
      <c r="I6" s="24" t="n">
        <v>6</v>
      </c>
      <c r="J6" s="24" t="n">
        <v>7</v>
      </c>
      <c r="K6" s="24" t="n">
        <v>8</v>
      </c>
      <c r="L6" s="24" t="n">
        <v>9</v>
      </c>
      <c r="M6" s="24" t="n">
        <v>10</v>
      </c>
      <c r="N6" s="24" t="n">
        <v>11</v>
      </c>
      <c r="O6" s="24" t="n">
        <v>12</v>
      </c>
      <c r="P6" s="24" t="n">
        <v>13</v>
      </c>
      <c r="Q6" s="24" t="n">
        <v>14</v>
      </c>
      <c r="R6" s="24" t="n">
        <v>15</v>
      </c>
      <c r="S6" s="24" t="n">
        <v>16</v>
      </c>
      <c r="T6" s="24" t="n">
        <v>17</v>
      </c>
      <c r="U6" s="24" t="n">
        <v>18</v>
      </c>
      <c r="V6" s="24" t="n">
        <v>19</v>
      </c>
      <c r="W6" s="24" t="n">
        <v>20</v>
      </c>
      <c r="X6" s="24" t="n">
        <v>21</v>
      </c>
      <c r="Y6" s="24" t="n">
        <v>22</v>
      </c>
      <c r="Z6" s="24" t="n">
        <v>23</v>
      </c>
      <c r="AA6" s="24" t="n">
        <v>24</v>
      </c>
      <c r="AB6" s="24" t="n">
        <v>25</v>
      </c>
    </row>
    <row r="7" customFormat="false" ht="15" hidden="false" customHeight="false" outlineLevel="0" collapsed="false">
      <c r="B7" s="25" t="s">
        <v>246</v>
      </c>
      <c r="C7" s="8"/>
      <c r="D7" s="8"/>
      <c r="E7" s="8"/>
      <c r="F7" s="8"/>
      <c r="G7" s="8"/>
      <c r="H7" s="8"/>
      <c r="I7" s="8"/>
      <c r="J7" s="8"/>
      <c r="K7" s="8"/>
      <c r="L7" s="8"/>
      <c r="M7" s="8"/>
      <c r="N7" s="8"/>
      <c r="O7" s="8"/>
      <c r="P7" s="8"/>
      <c r="Q7" s="8"/>
      <c r="R7" s="8"/>
      <c r="S7" s="8"/>
      <c r="T7" s="8"/>
      <c r="U7" s="8"/>
      <c r="V7" s="8"/>
      <c r="W7" s="8"/>
      <c r="X7" s="8"/>
      <c r="Y7" s="8"/>
      <c r="Z7" s="8"/>
      <c r="AA7" s="8"/>
      <c r="AB7" s="8"/>
    </row>
    <row r="8" customFormat="false" ht="15" hidden="false" customHeight="false" outlineLevel="0" collapsed="false">
      <c r="B8" s="26" t="s">
        <v>211</v>
      </c>
      <c r="C8" s="21" t="n">
        <f aca="false">Income_Statement!C23</f>
        <v>0</v>
      </c>
      <c r="D8" s="21" t="n">
        <f aca="false">Income_Statement!D23</f>
        <v>-1135475</v>
      </c>
      <c r="E8" s="21" t="n">
        <f aca="false">Income_Statement!E23</f>
        <v>-1157168.125</v>
      </c>
      <c r="F8" s="21" t="n">
        <f aca="false">Income_Statement!F23</f>
        <v>-1179068.890625</v>
      </c>
      <c r="G8" s="21" t="n">
        <f aca="false">Income_Statement!G23</f>
        <v>-1201165.75351562</v>
      </c>
      <c r="H8" s="21" t="n">
        <f aca="false">Income_Statement!H23</f>
        <v>-487921.214927965</v>
      </c>
      <c r="I8" s="21" t="n">
        <f aca="false">Income_Statement!I23</f>
        <v>-495660.574490635</v>
      </c>
      <c r="J8" s="21" t="n">
        <f aca="false">Income_Statement!J23</f>
        <v>-503260.155777334</v>
      </c>
      <c r="K8" s="21" t="n">
        <f aca="false">Income_Statement!K23</f>
        <v>-510697.594643419</v>
      </c>
      <c r="L8" s="21" t="n">
        <f aca="false">Income_Statement!L23</f>
        <v>-517948.980224756</v>
      </c>
      <c r="M8" s="21" t="n">
        <f aca="false">Income_Statement!M23</f>
        <v>-524988.766006307</v>
      </c>
      <c r="N8" s="21" t="n">
        <f aca="false">Income_Statement!N23</f>
        <v>-531789.67613661</v>
      </c>
      <c r="O8" s="21" t="n">
        <f aca="false">Income_Statement!O23</f>
        <v>-538322.606742402</v>
      </c>
      <c r="P8" s="21" t="n">
        <f aca="false">Income_Statement!P23</f>
        <v>-544556.521985146</v>
      </c>
      <c r="Q8" s="21" t="n">
        <f aca="false">Income_Statement!Q23</f>
        <v>-550458.344588091</v>
      </c>
      <c r="R8" s="21" t="n">
        <f aca="false">Income_Statement!R23</f>
        <v>-555992.840548707</v>
      </c>
      <c r="S8" s="21" t="n">
        <f aca="false">Income_Statement!S23</f>
        <v>-561122.497736864</v>
      </c>
      <c r="T8" s="21" t="n">
        <f aca="false">Income_Statement!T23</f>
        <v>-565807.3980639</v>
      </c>
      <c r="U8" s="21" t="n">
        <f aca="false">Income_Statement!U23</f>
        <v>-570005.082891757</v>
      </c>
      <c r="V8" s="21" t="n">
        <f aca="false">Income_Statement!V23</f>
        <v>-573670.411334556</v>
      </c>
      <c r="W8" s="21" t="n">
        <f aca="false">Income_Statement!W23</f>
        <v>-576755.411087392</v>
      </c>
      <c r="X8" s="21" t="n">
        <f aca="false">Income_Statement!X23</f>
        <v>-579209.121398573</v>
      </c>
      <c r="Y8" s="21" t="n">
        <f aca="false">Income_Statement!Y23</f>
        <v>-580977.427782104</v>
      </c>
      <c r="Z8" s="21" t="n">
        <f aca="false">Income_Statement!Z23</f>
        <v>-582002.888046779</v>
      </c>
      <c r="AA8" s="21" t="n">
        <f aca="false">Income_Statement!AA23</f>
        <v>-582224.54919679</v>
      </c>
      <c r="AB8" s="21" t="n">
        <f aca="false">Income_Statement!AB23</f>
        <v>160197297.013434</v>
      </c>
    </row>
    <row r="9" customFormat="false" ht="15" hidden="false" customHeight="false" outlineLevel="0" collapsed="false">
      <c r="B9" s="26" t="s">
        <v>247</v>
      </c>
      <c r="C9" s="21" t="n">
        <f aca="false">MAX(0,C8*Tax_Rate)</f>
        <v>0</v>
      </c>
      <c r="D9" s="21" t="n">
        <f aca="false">MAX(0,D8*Tax_Rate)</f>
        <v>0</v>
      </c>
      <c r="E9" s="21" t="n">
        <f aca="false">MAX(0,E8*Tax_Rate)</f>
        <v>0</v>
      </c>
      <c r="F9" s="21" t="n">
        <f aca="false">MAX(0,F8*Tax_Rate)</f>
        <v>0</v>
      </c>
      <c r="G9" s="21" t="n">
        <f aca="false">MAX(0,G8*Tax_Rate)</f>
        <v>0</v>
      </c>
      <c r="H9" s="21" t="n">
        <f aca="false">MAX(0,H8*Tax_Rate)</f>
        <v>0</v>
      </c>
      <c r="I9" s="21" t="n">
        <f aca="false">MAX(0,I8*Tax_Rate)</f>
        <v>0</v>
      </c>
      <c r="J9" s="21" t="n">
        <f aca="false">MAX(0,J8*Tax_Rate)</f>
        <v>0</v>
      </c>
      <c r="K9" s="21" t="n">
        <f aca="false">MAX(0,K8*Tax_Rate)</f>
        <v>0</v>
      </c>
      <c r="L9" s="21" t="n">
        <f aca="false">MAX(0,L8*Tax_Rate)</f>
        <v>0</v>
      </c>
      <c r="M9" s="21" t="n">
        <f aca="false">MAX(0,M8*Tax_Rate)</f>
        <v>0</v>
      </c>
      <c r="N9" s="21" t="n">
        <f aca="false">MAX(0,N8*Tax_Rate)</f>
        <v>0</v>
      </c>
      <c r="O9" s="21" t="n">
        <f aca="false">MAX(0,O8*Tax_Rate)</f>
        <v>0</v>
      </c>
      <c r="P9" s="21" t="n">
        <f aca="false">MAX(0,P8*Tax_Rate)</f>
        <v>0</v>
      </c>
      <c r="Q9" s="21" t="n">
        <f aca="false">MAX(0,Q8*Tax_Rate)</f>
        <v>0</v>
      </c>
      <c r="R9" s="21" t="n">
        <f aca="false">MAX(0,R8*Tax_Rate)</f>
        <v>0</v>
      </c>
      <c r="S9" s="21" t="n">
        <f aca="false">MAX(0,S8*Tax_Rate)</f>
        <v>0</v>
      </c>
      <c r="T9" s="21" t="n">
        <f aca="false">MAX(0,T8*Tax_Rate)</f>
        <v>0</v>
      </c>
      <c r="U9" s="21" t="n">
        <f aca="false">MAX(0,U8*Tax_Rate)</f>
        <v>0</v>
      </c>
      <c r="V9" s="21" t="n">
        <f aca="false">MAX(0,V8*Tax_Rate)</f>
        <v>0</v>
      </c>
      <c r="W9" s="21" t="n">
        <f aca="false">MAX(0,W8*Tax_Rate)</f>
        <v>0</v>
      </c>
      <c r="X9" s="21" t="n">
        <f aca="false">MAX(0,X8*Tax_Rate)</f>
        <v>0</v>
      </c>
      <c r="Y9" s="21" t="n">
        <f aca="false">MAX(0,Y8*Tax_Rate)</f>
        <v>0</v>
      </c>
      <c r="Z9" s="21" t="n">
        <f aca="false">MAX(0,Z8*Tax_Rate)</f>
        <v>0</v>
      </c>
      <c r="AA9" s="21" t="n">
        <f aca="false">MAX(0,AA8*Tax_Rate)</f>
        <v>0</v>
      </c>
      <c r="AB9" s="21" t="n">
        <f aca="false">MAX(0,AB8*Tax_Rate)</f>
        <v>33641432.3728212</v>
      </c>
    </row>
    <row r="10" customFormat="false" ht="15" hidden="false" customHeight="false" outlineLevel="0" collapsed="false">
      <c r="B10" s="26" t="s">
        <v>248</v>
      </c>
      <c r="C10" s="21" t="n">
        <f aca="false">C8-C9</f>
        <v>0</v>
      </c>
      <c r="D10" s="21" t="n">
        <f aca="false">D8-D9</f>
        <v>-1135475</v>
      </c>
      <c r="E10" s="21" t="n">
        <f aca="false">E8-E9</f>
        <v>-1157168.125</v>
      </c>
      <c r="F10" s="21" t="n">
        <f aca="false">F8-F9</f>
        <v>-1179068.890625</v>
      </c>
      <c r="G10" s="21" t="n">
        <f aca="false">G8-G9</f>
        <v>-1201165.75351562</v>
      </c>
      <c r="H10" s="21" t="n">
        <f aca="false">H8-H9</f>
        <v>-487921.214927965</v>
      </c>
      <c r="I10" s="21" t="n">
        <f aca="false">I8-I9</f>
        <v>-495660.574490635</v>
      </c>
      <c r="J10" s="21" t="n">
        <f aca="false">J8-J9</f>
        <v>-503260.155777334</v>
      </c>
      <c r="K10" s="21" t="n">
        <f aca="false">K8-K9</f>
        <v>-510697.594643419</v>
      </c>
      <c r="L10" s="21" t="n">
        <f aca="false">L8-L9</f>
        <v>-517948.980224756</v>
      </c>
      <c r="M10" s="21" t="n">
        <f aca="false">M8-M9</f>
        <v>-524988.766006307</v>
      </c>
      <c r="N10" s="21" t="n">
        <f aca="false">N8-N9</f>
        <v>-531789.67613661</v>
      </c>
      <c r="O10" s="21" t="n">
        <f aca="false">O8-O9</f>
        <v>-538322.606742402</v>
      </c>
      <c r="P10" s="21" t="n">
        <f aca="false">P8-P9</f>
        <v>-544556.521985146</v>
      </c>
      <c r="Q10" s="21" t="n">
        <f aca="false">Q8-Q9</f>
        <v>-550458.344588091</v>
      </c>
      <c r="R10" s="21" t="n">
        <f aca="false">R8-R9</f>
        <v>-555992.840548707</v>
      </c>
      <c r="S10" s="21" t="n">
        <f aca="false">S8-S9</f>
        <v>-561122.497736864</v>
      </c>
      <c r="T10" s="21" t="n">
        <f aca="false">T8-T9</f>
        <v>-565807.3980639</v>
      </c>
      <c r="U10" s="21" t="n">
        <f aca="false">U8-U9</f>
        <v>-570005.082891757</v>
      </c>
      <c r="V10" s="21" t="n">
        <f aca="false">V8-V9</f>
        <v>-573670.411334556</v>
      </c>
      <c r="W10" s="21" t="n">
        <f aca="false">W8-W9</f>
        <v>-576755.411087392</v>
      </c>
      <c r="X10" s="21" t="n">
        <f aca="false">X8-X9</f>
        <v>-579209.121398573</v>
      </c>
      <c r="Y10" s="21" t="n">
        <f aca="false">Y8-Y9</f>
        <v>-580977.427782104</v>
      </c>
      <c r="Z10" s="21" t="n">
        <f aca="false">Z8-Z9</f>
        <v>-582002.888046779</v>
      </c>
      <c r="AA10" s="21" t="n">
        <f aca="false">AA8-AA9</f>
        <v>-582224.54919679</v>
      </c>
      <c r="AB10" s="21" t="n">
        <f aca="false">AB8-AB9</f>
        <v>126555864.640613</v>
      </c>
    </row>
    <row r="11" customFormat="false" ht="15" hidden="false" customHeight="false" outlineLevel="0" collapsed="false">
      <c r="B11" s="26" t="s">
        <v>249</v>
      </c>
      <c r="C11" s="21" t="n">
        <f aca="false">IF(C6=0,-Total_Capex_Y0,0)</f>
        <v>-37700000</v>
      </c>
      <c r="D11" s="21" t="n">
        <f aca="false">IF(D6=0,-Total_Capex_Y0,0)</f>
        <v>0</v>
      </c>
      <c r="E11" s="21" t="n">
        <f aca="false">IF(E6=0,-Total_Capex_Y0,0)</f>
        <v>0</v>
      </c>
      <c r="F11" s="21" t="n">
        <f aca="false">IF(F6=0,-Total_Capex_Y0,0)</f>
        <v>0</v>
      </c>
      <c r="G11" s="21" t="n">
        <f aca="false">IF(G6=0,-Total_Capex_Y0,0)</f>
        <v>0</v>
      </c>
      <c r="H11" s="21" t="n">
        <f aca="false">IF(H6=0,-Total_Capex_Y0,0)</f>
        <v>0</v>
      </c>
      <c r="I11" s="21" t="n">
        <f aca="false">IF(I6=0,-Total_Capex_Y0,0)</f>
        <v>0</v>
      </c>
      <c r="J11" s="21" t="n">
        <f aca="false">IF(J6=0,-Total_Capex_Y0,0)</f>
        <v>0</v>
      </c>
      <c r="K11" s="21" t="n">
        <f aca="false">IF(K6=0,-Total_Capex_Y0,0)</f>
        <v>0</v>
      </c>
      <c r="L11" s="21" t="n">
        <f aca="false">IF(L6=0,-Total_Capex_Y0,0)</f>
        <v>0</v>
      </c>
      <c r="M11" s="21" t="n">
        <f aca="false">IF(M6=0,-Total_Capex_Y0,0)</f>
        <v>0</v>
      </c>
      <c r="N11" s="21" t="n">
        <f aca="false">IF(N6=0,-Total_Capex_Y0,0)</f>
        <v>0</v>
      </c>
      <c r="O11" s="21" t="n">
        <f aca="false">IF(O6=0,-Total_Capex_Y0,0)</f>
        <v>0</v>
      </c>
      <c r="P11" s="21" t="n">
        <f aca="false">IF(P6=0,-Total_Capex_Y0,0)</f>
        <v>0</v>
      </c>
      <c r="Q11" s="21" t="n">
        <f aca="false">IF(Q6=0,-Total_Capex_Y0,0)</f>
        <v>0</v>
      </c>
      <c r="R11" s="21" t="n">
        <f aca="false">IF(R6=0,-Total_Capex_Y0,0)</f>
        <v>0</v>
      </c>
      <c r="S11" s="21" t="n">
        <f aca="false">IF(S6=0,-Total_Capex_Y0,0)</f>
        <v>0</v>
      </c>
      <c r="T11" s="21" t="n">
        <f aca="false">IF(T6=0,-Total_Capex_Y0,0)</f>
        <v>0</v>
      </c>
      <c r="U11" s="21" t="n">
        <f aca="false">IF(U6=0,-Total_Capex_Y0,0)</f>
        <v>0</v>
      </c>
      <c r="V11" s="21" t="n">
        <f aca="false">IF(V6=0,-Total_Capex_Y0,0)</f>
        <v>0</v>
      </c>
      <c r="W11" s="21" t="n">
        <f aca="false">IF(W6=0,-Total_Capex_Y0,0)</f>
        <v>0</v>
      </c>
      <c r="X11" s="21" t="n">
        <f aca="false">IF(X6=0,-Total_Capex_Y0,0)</f>
        <v>0</v>
      </c>
      <c r="Y11" s="21" t="n">
        <f aca="false">IF(Y6=0,-Total_Capex_Y0,0)</f>
        <v>0</v>
      </c>
      <c r="Z11" s="21" t="n">
        <f aca="false">IF(Z6=0,-Total_Capex_Y0,0)</f>
        <v>0</v>
      </c>
      <c r="AA11" s="21" t="n">
        <f aca="false">IF(AA6=0,-Total_Capex_Y0,0)</f>
        <v>0</v>
      </c>
      <c r="AB11" s="21" t="n">
        <f aca="false">IF(AB6=0,-Total_Capex_Y0,0)</f>
        <v>0</v>
      </c>
    </row>
    <row r="12" customFormat="false" ht="15" hidden="false" customHeight="false" outlineLevel="0" collapsed="false">
      <c r="B12" s="26" t="s">
        <v>136</v>
      </c>
      <c r="C12" s="21" t="n">
        <f aca="false">IF(C6=Rotation_Length,Terminal_Land_Value,0)</f>
        <v>0</v>
      </c>
      <c r="D12" s="21" t="n">
        <f aca="false">IF(D6=Rotation_Length,Terminal_Land_Value,0)</f>
        <v>0</v>
      </c>
      <c r="E12" s="21" t="n">
        <f aca="false">IF(E6=Rotation_Length,Terminal_Land_Value,0)</f>
        <v>0</v>
      </c>
      <c r="F12" s="21" t="n">
        <f aca="false">IF(F6=Rotation_Length,Terminal_Land_Value,0)</f>
        <v>0</v>
      </c>
      <c r="G12" s="21" t="n">
        <f aca="false">IF(G6=Rotation_Length,Terminal_Land_Value,0)</f>
        <v>0</v>
      </c>
      <c r="H12" s="21" t="n">
        <f aca="false">IF(H6=Rotation_Length,Terminal_Land_Value,0)</f>
        <v>0</v>
      </c>
      <c r="I12" s="21" t="n">
        <f aca="false">IF(I6=Rotation_Length,Terminal_Land_Value,0)</f>
        <v>0</v>
      </c>
      <c r="J12" s="21" t="n">
        <f aca="false">IF(J6=Rotation_Length,Terminal_Land_Value,0)</f>
        <v>0</v>
      </c>
      <c r="K12" s="21" t="n">
        <f aca="false">IF(K6=Rotation_Length,Terminal_Land_Value,0)</f>
        <v>0</v>
      </c>
      <c r="L12" s="21" t="n">
        <f aca="false">IF(L6=Rotation_Length,Terminal_Land_Value,0)</f>
        <v>0</v>
      </c>
      <c r="M12" s="21" t="n">
        <f aca="false">IF(M6=Rotation_Length,Terminal_Land_Value,0)</f>
        <v>0</v>
      </c>
      <c r="N12" s="21" t="n">
        <f aca="false">IF(N6=Rotation_Length,Terminal_Land_Value,0)</f>
        <v>0</v>
      </c>
      <c r="O12" s="21" t="n">
        <f aca="false">IF(O6=Rotation_Length,Terminal_Land_Value,0)</f>
        <v>0</v>
      </c>
      <c r="P12" s="21" t="n">
        <f aca="false">IF(P6=Rotation_Length,Terminal_Land_Value,0)</f>
        <v>0</v>
      </c>
      <c r="Q12" s="21" t="n">
        <f aca="false">IF(Q6=Rotation_Length,Terminal_Land_Value,0)</f>
        <v>0</v>
      </c>
      <c r="R12" s="21" t="n">
        <f aca="false">IF(R6=Rotation_Length,Terminal_Land_Value,0)</f>
        <v>0</v>
      </c>
      <c r="S12" s="21" t="n">
        <f aca="false">IF(S6=Rotation_Length,Terminal_Land_Value,0)</f>
        <v>0</v>
      </c>
      <c r="T12" s="21" t="n">
        <f aca="false">IF(T6=Rotation_Length,Terminal_Land_Value,0)</f>
        <v>0</v>
      </c>
      <c r="U12" s="21" t="n">
        <f aca="false">IF(U6=Rotation_Length,Terminal_Land_Value,0)</f>
        <v>0</v>
      </c>
      <c r="V12" s="21" t="n">
        <f aca="false">IF(V6=Rotation_Length,Terminal_Land_Value,0)</f>
        <v>0</v>
      </c>
      <c r="W12" s="21" t="n">
        <f aca="false">IF(W6=Rotation_Length,Terminal_Land_Value,0)</f>
        <v>0</v>
      </c>
      <c r="X12" s="21" t="n">
        <f aca="false">IF(X6=Rotation_Length,Terminal_Land_Value,0)</f>
        <v>0</v>
      </c>
      <c r="Y12" s="21" t="n">
        <f aca="false">IF(Y6=Rotation_Length,Terminal_Land_Value,0)</f>
        <v>0</v>
      </c>
      <c r="Z12" s="21" t="n">
        <f aca="false">IF(Z6=Rotation_Length,Terminal_Land_Value,0)</f>
        <v>0</v>
      </c>
      <c r="AA12" s="21" t="n">
        <f aca="false">IF(AA6=Rotation_Length,Terminal_Land_Value,0)</f>
        <v>0</v>
      </c>
      <c r="AB12" s="21" t="n">
        <f aca="false">IF(AB6=Rotation_Length,Terminal_Land_Value,0)</f>
        <v>36273633.8526989</v>
      </c>
    </row>
    <row r="13" customFormat="false" ht="15" hidden="false" customHeight="false" outlineLevel="0" collapsed="false">
      <c r="B13" s="26" t="s">
        <v>250</v>
      </c>
      <c r="C13" s="29" t="n">
        <f aca="false">C10+C11+C12</f>
        <v>-37700000</v>
      </c>
      <c r="D13" s="29" t="n">
        <f aca="false">D10+D11+D12</f>
        <v>-1135475</v>
      </c>
      <c r="E13" s="29" t="n">
        <f aca="false">E10+E11+E12</f>
        <v>-1157168.125</v>
      </c>
      <c r="F13" s="29" t="n">
        <f aca="false">F10+F11+F12</f>
        <v>-1179068.890625</v>
      </c>
      <c r="G13" s="29" t="n">
        <f aca="false">G10+G11+G12</f>
        <v>-1201165.75351562</v>
      </c>
      <c r="H13" s="29" t="n">
        <f aca="false">H10+H11+H12</f>
        <v>-487921.214927965</v>
      </c>
      <c r="I13" s="29" t="n">
        <f aca="false">I10+I11+I12</f>
        <v>-495660.574490635</v>
      </c>
      <c r="J13" s="29" t="n">
        <f aca="false">J10+J11+J12</f>
        <v>-503260.155777334</v>
      </c>
      <c r="K13" s="29" t="n">
        <f aca="false">K10+K11+K12</f>
        <v>-510697.594643419</v>
      </c>
      <c r="L13" s="29" t="n">
        <f aca="false">L10+L11+L12</f>
        <v>-517948.980224756</v>
      </c>
      <c r="M13" s="29" t="n">
        <f aca="false">M10+M11+M12</f>
        <v>-524988.766006307</v>
      </c>
      <c r="N13" s="29" t="n">
        <f aca="false">N10+N11+N12</f>
        <v>-531789.67613661</v>
      </c>
      <c r="O13" s="29" t="n">
        <f aca="false">O10+O11+O12</f>
        <v>-538322.606742402</v>
      </c>
      <c r="P13" s="29" t="n">
        <f aca="false">P10+P11+P12</f>
        <v>-544556.521985146</v>
      </c>
      <c r="Q13" s="29" t="n">
        <f aca="false">Q10+Q11+Q12</f>
        <v>-550458.344588091</v>
      </c>
      <c r="R13" s="29" t="n">
        <f aca="false">R10+R11+R12</f>
        <v>-555992.840548707</v>
      </c>
      <c r="S13" s="29" t="n">
        <f aca="false">S10+S11+S12</f>
        <v>-561122.497736864</v>
      </c>
      <c r="T13" s="29" t="n">
        <f aca="false">T10+T11+T12</f>
        <v>-565807.3980639</v>
      </c>
      <c r="U13" s="29" t="n">
        <f aca="false">U10+U11+U12</f>
        <v>-570005.082891757</v>
      </c>
      <c r="V13" s="29" t="n">
        <f aca="false">V10+V11+V12</f>
        <v>-573670.411334556</v>
      </c>
      <c r="W13" s="29" t="n">
        <f aca="false">W10+W11+W12</f>
        <v>-576755.411087392</v>
      </c>
      <c r="X13" s="29" t="n">
        <f aca="false">X10+X11+X12</f>
        <v>-579209.121398573</v>
      </c>
      <c r="Y13" s="29" t="n">
        <f aca="false">Y10+Y11+Y12</f>
        <v>-580977.427782104</v>
      </c>
      <c r="Z13" s="29" t="n">
        <f aca="false">Z10+Z11+Z12</f>
        <v>-582002.888046779</v>
      </c>
      <c r="AA13" s="29" t="n">
        <f aca="false">AA10+AA11+AA12</f>
        <v>-582224.54919679</v>
      </c>
      <c r="AB13" s="29" t="n">
        <f aca="false">AB10+AB11+AB12</f>
        <v>162829498.493312</v>
      </c>
    </row>
    <row r="14" customFormat="false" ht="15" hidden="false" customHeight="false" outlineLevel="0" collapsed="false">
      <c r="B14" s="25" t="s">
        <v>251</v>
      </c>
      <c r="C14" s="8"/>
      <c r="D14" s="8"/>
      <c r="E14" s="8"/>
      <c r="F14" s="8"/>
      <c r="G14" s="8"/>
      <c r="H14" s="8"/>
      <c r="I14" s="8"/>
      <c r="J14" s="8"/>
      <c r="K14" s="8"/>
      <c r="L14" s="8"/>
      <c r="M14" s="8"/>
      <c r="N14" s="8"/>
      <c r="O14" s="8"/>
      <c r="P14" s="8"/>
      <c r="Q14" s="8"/>
      <c r="R14" s="8"/>
      <c r="S14" s="8"/>
      <c r="T14" s="8"/>
      <c r="U14" s="8"/>
      <c r="V14" s="8"/>
      <c r="W14" s="8"/>
      <c r="X14" s="8"/>
      <c r="Y14" s="8"/>
      <c r="Z14" s="8"/>
      <c r="AA14" s="8"/>
      <c r="AB14" s="8"/>
    </row>
    <row r="16" customFormat="false" ht="15" hidden="false" customHeight="false" outlineLevel="0" collapsed="false">
      <c r="B16" s="6" t="s">
        <v>252</v>
      </c>
      <c r="C16" s="32" t="n">
        <f aca="false">IRR(C13:AB13)</f>
        <v>0.0506891787998643</v>
      </c>
    </row>
    <row r="17" customFormat="false" ht="15" hidden="false" customHeight="false" outlineLevel="0" collapsed="false">
      <c r="B17" s="6" t="s">
        <v>253</v>
      </c>
      <c r="C17" s="21" t="n">
        <f aca="false">NPV(WACC,D13:AB13)+C13</f>
        <v>-18983735.9211118</v>
      </c>
    </row>
    <row r="18" customFormat="false" ht="15" hidden="false" customHeight="false" outlineLevel="0" collapsed="false">
      <c r="B18" s="25" t="s">
        <v>254</v>
      </c>
      <c r="C18" s="8"/>
      <c r="D18" s="8"/>
      <c r="E18" s="8"/>
      <c r="F18" s="8"/>
      <c r="G18" s="8"/>
      <c r="H18" s="8"/>
      <c r="I18" s="8"/>
      <c r="J18" s="8"/>
      <c r="K18" s="8"/>
      <c r="L18" s="8"/>
      <c r="M18" s="8"/>
      <c r="N18" s="8"/>
      <c r="O18" s="8"/>
      <c r="P18" s="8"/>
      <c r="Q18" s="8"/>
      <c r="R18" s="8"/>
      <c r="S18" s="8"/>
      <c r="T18" s="8"/>
      <c r="U18" s="8"/>
      <c r="V18" s="8"/>
      <c r="W18" s="8"/>
      <c r="X18" s="8"/>
      <c r="Y18" s="8"/>
      <c r="Z18" s="8"/>
      <c r="AA18" s="8"/>
      <c r="AB18" s="8"/>
    </row>
    <row r="20" customFormat="false" ht="15" hidden="false" customHeight="false" outlineLevel="0" collapsed="false">
      <c r="B20" s="6" t="s">
        <v>255</v>
      </c>
      <c r="C20" s="21" t="n">
        <f aca="false">-Equity_Contribution</f>
        <v>-22620000</v>
      </c>
      <c r="D20" s="21" t="n">
        <f aca="false">Income_Statement!D38-Annual_Equity_Call</f>
        <v>-2405200</v>
      </c>
      <c r="E20" s="21" t="n">
        <f aca="false">Income_Statement!E38-Annual_Equity_Call</f>
        <v>-2405200</v>
      </c>
      <c r="F20" s="21" t="n">
        <f aca="false">Income_Statement!F38-Annual_Equity_Call</f>
        <v>-2405200</v>
      </c>
      <c r="G20" s="21" t="n">
        <f aca="false">Income_Statement!G38-Annual_Equity_Call</f>
        <v>-2405200</v>
      </c>
      <c r="H20" s="21" t="n">
        <f aca="false">Income_Statement!H38-Annual_Equity_Call</f>
        <v>-2405200</v>
      </c>
      <c r="I20" s="21" t="n">
        <f aca="false">Income_Statement!I38-Annual_Equity_Call</f>
        <v>-2405200</v>
      </c>
      <c r="J20" s="21" t="n">
        <f aca="false">Income_Statement!J38-Annual_Equity_Call</f>
        <v>-2405200</v>
      </c>
      <c r="K20" s="21" t="n">
        <f aca="false">Income_Statement!K38-Annual_Equity_Call</f>
        <v>-2405200</v>
      </c>
      <c r="L20" s="21" t="n">
        <f aca="false">Income_Statement!L38-Annual_Equity_Call</f>
        <v>-2405200</v>
      </c>
      <c r="M20" s="21" t="n">
        <f aca="false">Income_Statement!M38-Annual_Equity_Call</f>
        <v>-2405200</v>
      </c>
      <c r="N20" s="21" t="n">
        <f aca="false">Income_Statement!N38-Annual_Equity_Call</f>
        <v>-2405200</v>
      </c>
      <c r="O20" s="21" t="n">
        <f aca="false">Income_Statement!O38-Annual_Equity_Call</f>
        <v>-2405200</v>
      </c>
      <c r="P20" s="21" t="n">
        <f aca="false">Income_Statement!P38-Annual_Equity_Call</f>
        <v>-2405200</v>
      </c>
      <c r="Q20" s="21" t="n">
        <f aca="false">Income_Statement!Q38-Annual_Equity_Call</f>
        <v>-2405200</v>
      </c>
      <c r="R20" s="21" t="n">
        <f aca="false">Income_Statement!R38-Annual_Equity_Call</f>
        <v>-2405200</v>
      </c>
      <c r="S20" s="21" t="n">
        <f aca="false">Income_Statement!S38-Annual_Equity_Call</f>
        <v>-2405200</v>
      </c>
      <c r="T20" s="21" t="n">
        <f aca="false">Income_Statement!T38-Annual_Equity_Call</f>
        <v>-2405200</v>
      </c>
      <c r="U20" s="21" t="n">
        <f aca="false">Income_Statement!U38-Annual_Equity_Call</f>
        <v>-2405200</v>
      </c>
      <c r="V20" s="21" t="n">
        <f aca="false">Income_Statement!V38-Annual_Equity_Call</f>
        <v>-2405200</v>
      </c>
      <c r="W20" s="21" t="n">
        <f aca="false">Income_Statement!W38-Annual_Equity_Call</f>
        <v>-2405200</v>
      </c>
      <c r="X20" s="21" t="n">
        <f aca="false">Income_Statement!X38-Annual_Equity_Call</f>
        <v>-2405200</v>
      </c>
      <c r="Y20" s="21" t="n">
        <f aca="false">Income_Statement!Y38-Annual_Equity_Call</f>
        <v>-2405200</v>
      </c>
      <c r="Z20" s="21" t="n">
        <f aca="false">Income_Statement!Z38-Annual_Equity_Call</f>
        <v>-2405200</v>
      </c>
      <c r="AA20" s="21" t="n">
        <f aca="false">Income_Statement!AA38-Annual_Equity_Call</f>
        <v>-2405200</v>
      </c>
      <c r="AB20" s="21" t="n">
        <f aca="false">Income_Statement!AB38+Equity_Terminal</f>
        <v>155192660.95819</v>
      </c>
    </row>
    <row r="23" customFormat="false" ht="15" hidden="false" customHeight="false" outlineLevel="0" collapsed="false">
      <c r="B23" s="6" t="s">
        <v>256</v>
      </c>
      <c r="C23" s="32" t="n">
        <f aca="false">IRR(C20:AB20)</f>
        <v>0.0389640198773045</v>
      </c>
    </row>
    <row r="24" customFormat="false" ht="15" hidden="false" customHeight="false" outlineLevel="0" collapsed="false">
      <c r="B24" s="25" t="s">
        <v>257</v>
      </c>
      <c r="C24" s="8"/>
      <c r="D24" s="8"/>
      <c r="E24" s="8"/>
      <c r="F24" s="8"/>
      <c r="G24" s="8"/>
      <c r="H24" s="8"/>
      <c r="I24" s="8"/>
      <c r="J24" s="8"/>
      <c r="K24" s="8"/>
      <c r="L24" s="8"/>
      <c r="M24" s="8"/>
      <c r="N24" s="8"/>
      <c r="O24" s="8"/>
      <c r="P24" s="8"/>
      <c r="Q24" s="8"/>
      <c r="R24" s="8"/>
      <c r="S24" s="8"/>
      <c r="T24" s="8"/>
      <c r="U24" s="8"/>
      <c r="V24" s="8"/>
      <c r="W24" s="8"/>
      <c r="X24" s="8"/>
      <c r="Y24" s="8"/>
      <c r="Z24" s="8"/>
      <c r="AA24" s="8"/>
      <c r="AB24" s="8"/>
    </row>
    <row r="26" customFormat="false" ht="15" hidden="false" customHeight="false" outlineLevel="0" collapsed="false">
      <c r="B26" s="6" t="s">
        <v>258</v>
      </c>
      <c r="C26" s="21" t="n">
        <f aca="false">(NPV(WACC,D13:AB13)+C13)/(1-(1+WACC)^(-Rotation_Length))</f>
        <v>-22707249.3319815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2026-05-15T18:53:59Z</dcterms:created>
  <dc:creator>openpyxl</dc:creator>
  <dc:description/>
  <dc:language>en-GB</dc:language>
  <cp:lastModifiedBy/>
  <dcterms:modified xsi:type="dcterms:W3CDTF">2026-05-15T18:53:59Z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