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Enrolment" sheetId="3" state="visible" r:id="rId5"/>
    <sheet name="Revenue" sheetId="4" state="visible" r:id="rId6"/>
    <sheet name="Operating_Costs" sheetId="5" state="visible" r:id="rId7"/>
    <sheet name="Capex_Depreciation" sheetId="6" state="visible" r:id="rId8"/>
    <sheet name="Debt_Schedule" sheetId="7" state="visible" r:id="rId9"/>
    <sheet name="Endowment" sheetId="8" state="visible" r:id="rId10"/>
    <sheet name="Income_Statement" sheetId="9" state="visible" r:id="rId11"/>
    <sheet name="Balance_Sheet" sheetId="10" state="visible" r:id="rId12"/>
    <sheet name="Cash_Flow" sheetId="11" state="visible" r:id="rId13"/>
    <sheet name="Checks" sheetId="12" state="visible" r:id="rId14"/>
    <sheet name="Disclaimer" sheetId="13" state="visible" r:id="rId15"/>
  </sheets>
  <definedNames>
    <definedName function="false" hidden="false" name="Admin_HC_Base" vbProcedure="false">Assumptions!$C$44</definedName>
    <definedName function="false" hidden="false" name="Admin_Sal_Esc" vbProcedure="false">Assumptions!$C$46</definedName>
    <definedName function="false" hidden="false" name="Annual_Donation" vbProcedure="false">Assumptions!$C$37</definedName>
    <definedName function="false" hidden="false" name="Aux_Growth" vbProcedure="false">Assumptions!$C$31</definedName>
    <definedName function="false" hidden="false" name="Aux_Per_Student" vbProcedure="false">Assumptions!$C$30</definedName>
    <definedName function="false" hidden="false" name="Avg_Admin_Sal" vbProcedure="false">Assumptions!$C$45</definedName>
    <definedName function="false" hidden="false" name="Avg_Faculty_Sal" vbProcedure="false">Assumptions!$C$41</definedName>
    <definedName function="false" hidden="false" name="Benefits_Rate" vbProcedure="false">Assumptions!$C$43</definedName>
    <definedName function="false" hidden="false" name="Defer_Rev_Days" vbProcedure="false">Assumptions!$C$82</definedName>
    <definedName function="false" hidden="false" name="DPO_Days" vbProcedure="false">Assumptions!$C$81</definedName>
    <definedName function="false" hidden="false" name="DSO_Days" vbProcedure="false">Assumptions!$C$80</definedName>
    <definedName function="false" hidden="false" name="Endow_Opening" vbProcedure="false">Assumptions!$C$34</definedName>
    <definedName function="false" hidden="false" name="Endow_Return_Rate" vbProcedure="false">Assumptions!$C$35</definedName>
    <definedName function="false" hidden="false" name="Endow_Spend_Rate" vbProcedure="false">Assumptions!$C$36</definedName>
    <definedName function="false" hidden="false" name="Exist_Useful_Life" vbProcedure="false">Assumptions!$C$62</definedName>
    <definedName function="false" hidden="false" name="Facilities_Pct" vbProcedure="false">Assumptions!$C$49</definedName>
    <definedName function="false" hidden="false" name="Faculty_Sal_Esc" vbProcedure="false">Assumptions!$C$42</definedName>
    <definedName function="false" hidden="false" name="Grant_Base" vbProcedure="false">Assumptions!$C$28</definedName>
    <definedName function="false" hidden="false" name="Grant_Growth" vbProcedure="false">Assumptions!$C$29</definedName>
    <definedName function="false" hidden="false" name="Growth_Capex_Y1" vbProcedure="false">Assumptions!$C$64</definedName>
    <definedName function="false" hidden="false" name="Growth_Capex_Y2" vbProcedure="false">Assumptions!$C$65</definedName>
    <definedName function="false" hidden="false" name="Growth_Capex_Y3" vbProcedure="false">Assumptions!$C$66</definedName>
    <definedName function="false" hidden="false" name="Growth_Capex_Y4" vbProcedure="false">Assumptions!$C$67</definedName>
    <definedName function="false" hidden="false" name="Growth_Capex_Y5" vbProcedure="false">Assumptions!$C$68</definedName>
    <definedName function="false" hidden="false" name="Insurance_Base" vbProcedure="false">Assumptions!$C$53</definedName>
    <definedName function="false" hidden="false" name="Insurance_Esc" vbProcedure="false">Assumptions!$C$54</definedName>
    <definedName function="false" hidden="false" name="Intake_Growth" vbProcedure="false">Assumptions!$C$17</definedName>
    <definedName function="false" hidden="false" name="IT_Pct" vbProcedure="false">Assumptions!$C$52</definedName>
    <definedName function="false" hidden="false" name="Maint_Capex_Pct" vbProcedure="false">Assumptions!$C$63</definedName>
    <definedName function="false" hidden="false" name="Mktg_Pct" vbProcedure="false">Assumptions!$C$51</definedName>
    <definedName function="false" hidden="false" name="Model_Start_Year" vbProcedure="false">Assumptions!$C$8</definedName>
    <definedName function="false" hidden="false" name="New_Asset_Life" vbProcedure="false">Assumptions!$C$69</definedName>
    <definedName function="false" hidden="false" name="Open_Accum_Depr" vbProcedure="false">Assumptions!$C$61</definedName>
    <definedName function="false" hidden="false" name="Open_Cash" vbProcedure="false">Assumptions!$C$86</definedName>
    <definedName function="false" hidden="false" name="Open_Net_Assets" vbProcedure="false">Assumptions!$C$87</definedName>
    <definedName function="false" hidden="false" name="Open_PPE_Gross" vbProcedure="false">Assumptions!$C$60</definedName>
    <definedName function="false" hidden="false" name="PG_Discount_Rate" vbProcedure="false">Assumptions!$C$25</definedName>
    <definedName function="false" hidden="false" name="PG_Duration" vbProcedure="false">Assumptions!$C$16</definedName>
    <definedName function="false" hidden="false" name="PG_Gross_Tuition" vbProcedure="false">Assumptions!$C$23</definedName>
    <definedName function="false" hidden="false" name="PG_Intake_Base" vbProcedure="false">Assumptions!$C$14</definedName>
    <definedName function="false" hidden="false" name="PG_Retention" vbProcedure="false">Assumptions!$C$15</definedName>
    <definedName function="false" hidden="false" name="PG_Tuition_Esc" vbProcedure="false">Assumptions!$C$24</definedName>
    <definedName function="false" hidden="false" name="Prepaid_Pct" vbProcedure="false">Assumptions!$C$83</definedName>
    <definedName function="false" hidden="false" name="Student_Svc_Pct" vbProcedure="false">Assumptions!$C$50</definedName>
    <definedName function="false" hidden="false" name="Stu_Faculty_Ratio" vbProcedure="false">Assumptions!$C$40</definedName>
    <definedName function="false" hidden="false" name="Supplies_Pct" vbProcedure="false">Assumptions!$C$57</definedName>
    <definedName function="false" hidden="false" name="Tax_Rate" vbProcedure="false">Assumptions!$C$77</definedName>
    <definedName function="false" hidden="false" name="Term_Loan_Amt" vbProcedure="false">Assumptions!$C$72</definedName>
    <definedName function="false" hidden="false" name="Term_Rate" vbProcedure="false">Assumptions!$C$73</definedName>
    <definedName function="false" hidden="false" name="Term_Tenor" vbProcedure="false">Assumptions!$C$74</definedName>
    <definedName function="false" hidden="false" name="UG_Discount_Rate" vbProcedure="false">Assumptions!$C$22</definedName>
    <definedName function="false" hidden="false" name="UG_Duration" vbProcedure="false">Assumptions!$C$13</definedName>
    <definedName function="false" hidden="false" name="UG_Gross_Tuition" vbProcedure="false">Assumptions!$C$20</definedName>
    <definedName function="false" hidden="false" name="UG_Intake_Base" vbProcedure="false">Assumptions!$C$11</definedName>
    <definedName function="false" hidden="false" name="UG_Retention" vbProcedure="false">Assumptions!$C$12</definedName>
    <definedName function="false" hidden="false" name="UG_Tuition_Esc" vbProcedure="false">Assumptions!$C$21</definedName>
    <definedName function="false" hidden="false" name="Utilities_Base" vbProcedure="false">Assumptions!$C$55</definedName>
    <definedName function="false" hidden="false" name="Utilities_Esc" vbProcedure="false">Assumptions!$C$56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<sst xmlns="http://schemas.openxmlformats.org/spreadsheetml/2006/main" count="442" uniqueCount="322">
  <si>
    <t xml:space="preserve">University Financial Model</t>
  </si>
  <si>
    <t xml:space="preserve">FINAMODEL.com</t>
  </si>
  <si>
    <t xml:space="preserve">Annual Projections</t>
  </si>
  <si>
    <t xml:space="preserve">Institution Name</t>
  </si>
  <si>
    <t xml:space="preserve">[University Name]</t>
  </si>
  <si>
    <t xml:space="preserve">Currency</t>
  </si>
  <si>
    <t xml:space="preserve">USD ($)</t>
  </si>
  <si>
    <t xml:space="preserve">Projection Period</t>
  </si>
  <si>
    <t xml:space="preserve">5 Years</t>
  </si>
  <si>
    <t xml:space="preserve">Date Prepared</t>
  </si>
  <si>
    <t xml:space="preserve">April 2026</t>
  </si>
  <si>
    <t xml:space="preserve">Sheet Navigation</t>
  </si>
  <si>
    <t xml:space="preserve">Assumptions</t>
  </si>
  <si>
    <t xml:space="preserve">All model inputs and drivers</t>
  </si>
  <si>
    <t xml:space="preserve">Enrolment</t>
  </si>
  <si>
    <t xml:space="preserve">UG and PG student projections</t>
  </si>
  <si>
    <t xml:space="preserve">Revenue</t>
  </si>
  <si>
    <t xml:space="preserve">Tuition, grants, auxiliary, endowment</t>
  </si>
  <si>
    <t xml:space="preserve">Operating_Costs</t>
  </si>
  <si>
    <t xml:space="preserve">Faculty, admin, facility costs</t>
  </si>
  <si>
    <t xml:space="preserve">Capex_Depreciation</t>
  </si>
  <si>
    <t xml:space="preserve">Capital expenditure and D&amp;A</t>
  </si>
  <si>
    <t xml:space="preserve">Debt_Schedule</t>
  </si>
  <si>
    <t xml:space="preserve">Term loan amortisation</t>
  </si>
  <si>
    <t xml:space="preserve">Endowment</t>
  </si>
  <si>
    <t xml:space="preserve">Endowment fund roll-forward</t>
  </si>
  <si>
    <t xml:space="preserve">Income_Statement</t>
  </si>
  <si>
    <t xml:space="preserve">Revenue to net surplus</t>
  </si>
  <si>
    <t xml:space="preserve">Balance_Sheet</t>
  </si>
  <si>
    <t xml:space="preserve">Assets, liabilities, net assets</t>
  </si>
  <si>
    <t xml:space="preserve">Cash_Flow</t>
  </si>
  <si>
    <t xml:space="preserve">Operating, investing, financing</t>
  </si>
  <si>
    <t xml:space="preserve">Checks</t>
  </si>
  <si>
    <t xml:space="preserve">Validation and covenant checks</t>
  </si>
  <si>
    <t xml:space="preserve">Tab Colour Legend</t>
  </si>
  <si>
    <t xml:space="preserve">Dark Blue</t>
  </si>
  <si>
    <t xml:space="preserve">Cover</t>
  </si>
  <si>
    <t xml:space="preserve">Light Blue</t>
  </si>
  <si>
    <t xml:space="preserve">Assumptions / Inputs</t>
  </si>
  <si>
    <t xml:space="preserve">Green</t>
  </si>
  <si>
    <t xml:space="preserve">Revenue &amp; Enrolment</t>
  </si>
  <si>
    <t xml:space="preserve">Orange</t>
  </si>
  <si>
    <t xml:space="preserve">Cost Schedules</t>
  </si>
  <si>
    <t xml:space="preserve">Grey</t>
  </si>
  <si>
    <t xml:space="preserve">Financial Statements</t>
  </si>
  <si>
    <t xml:space="preserve">Red</t>
  </si>
  <si>
    <t xml:space="preserve">Debt Schedule</t>
  </si>
  <si>
    <t xml:space="preserve">Purple</t>
  </si>
  <si>
    <t xml:space="preserve">About this model</t>
  </si>
  <si>
    <t xml:space="preserve">Model a mid-sized private university with tuition revenue (undergraduate and postgraduate), government grants, research income, auxiliary revenue (housing, dining), and endowment returns. Net tuition is driven by gross tuition Ã (1 - discount rate), where discount rates account for institutional financial aid. Undergraduate enrollment is modeled with retention curves (typically 80â92% year-over-year); postgraduate programs grow faster (3â6% annually) but have lower discount rates.
The workbook projects faculty and administrative headcount based on student-to-faculty ratios (target 10â20:1), applies salary escalation, and models benefits burdens (25â30% of salaries). Fixed costs include facilities maintenance (8â12% of revenue), student services (3â5%), and marketing (3â5%). Capex is significant (8â15% of revenue) due to deferred maintenance and lab/building upgrades. Debt service is modeled assuming senior tax-exempt bonds at 3â5% rates; DSCR covenants typically require minimum 1.20â1.50x coverage.
Key metrics: revenue per student ($25â80k for a US private), operating margin (3â10% for well-managed institutions), faculty cost ratio (30â45% of revenue). Enrollment trends dominate sensitivity: 5% enrollment decline reduces net tuition by 5â7% (after fixed cost deleverage), compressing margins 200â400 bps. The demographic cliff (declining 18-year-old population in many Western countries from 2025 onward) is the dominant macro headwind.</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</si>
  <si>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</si>
  <si>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</si>
  <si>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</si>
  <si>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</si>
  <si>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Model Inputs</t>
  </si>
  <si>
    <t xml:space="preserve">Parameter</t>
  </si>
  <si>
    <t xml:space="preserve">Value</t>
  </si>
  <si>
    <t xml:space="preserve">Unit</t>
  </si>
  <si>
    <t xml:space="preserve">Notes</t>
  </si>
  <si>
    <t xml:space="preserve">General</t>
  </si>
  <si>
    <t xml:space="preserve">Model Start Year</t>
  </si>
  <si>
    <t xml:space="preserve">First projection year</t>
  </si>
  <si>
    <t xml:space="preserve">UG New Intake (Year 1)</t>
  </si>
  <si>
    <t xml:space="preserve">students</t>
  </si>
  <si>
    <t xml:space="preserve">Incoming freshmen</t>
  </si>
  <si>
    <t xml:space="preserve">UG Retention Rate</t>
  </si>
  <si>
    <t xml:space="preserve">%</t>
  </si>
  <si>
    <t xml:space="preserve">Year-over-year retention</t>
  </si>
  <si>
    <t xml:space="preserve">UG Average Duration</t>
  </si>
  <si>
    <t xml:space="preserve">years</t>
  </si>
  <si>
    <t xml:space="preserve">4-year programmes</t>
  </si>
  <si>
    <t xml:space="preserve">PG New Intake (Year 1)</t>
  </si>
  <si>
    <t xml:space="preserve">Masters + doctoral</t>
  </si>
  <si>
    <t xml:space="preserve">PG Retention Rate</t>
  </si>
  <si>
    <t xml:space="preserve">Higher than UG</t>
  </si>
  <si>
    <t xml:space="preserve">PG Average Duration</t>
  </si>
  <si>
    <t xml:space="preserve">Mostly masters</t>
  </si>
  <si>
    <t xml:space="preserve">Annual Intake Growth</t>
  </si>
  <si>
    <t xml:space="preserve">Applied to both UG and PG</t>
  </si>
  <si>
    <t xml:space="preserve">Tuition &amp; Discounts</t>
  </si>
  <si>
    <t xml:space="preserve">UG Gross Tuition</t>
  </si>
  <si>
    <t xml:space="preserve">$</t>
  </si>
  <si>
    <t xml:space="preserve">Annual sticker price</t>
  </si>
  <si>
    <t xml:space="preserve">UG Tuition Escalation</t>
  </si>
  <si>
    <t xml:space="preserve">Annual increase</t>
  </si>
  <si>
    <t xml:space="preserve">UG Discount Rate</t>
  </si>
  <si>
    <t xml:space="preserve">Institutional aid / gross</t>
  </si>
  <si>
    <t xml:space="preserve">PG Gross Tuition</t>
  </si>
  <si>
    <t xml:space="preserve">PG Tuition Escalation</t>
  </si>
  <si>
    <t xml:space="preserve">PG Discount Rate</t>
  </si>
  <si>
    <t xml:space="preserve">Lower than UG</t>
  </si>
  <si>
    <t xml:space="preserve">Other Revenue</t>
  </si>
  <si>
    <t xml:space="preserve">Grants &amp; Research Base</t>
  </si>
  <si>
    <t xml:space="preserve">Year 1 government + research</t>
  </si>
  <si>
    <t xml:space="preserve">Grants Growth</t>
  </si>
  <si>
    <t xml:space="preserve">Annual escalation</t>
  </si>
  <si>
    <t xml:space="preserve">Auxiliary Rev / Student</t>
  </si>
  <si>
    <t xml:space="preserve">Housing, dining, bookstore</t>
  </si>
  <si>
    <t xml:space="preserve">Auxiliary Rate Escalation</t>
  </si>
  <si>
    <t xml:space="preserve">Opening Endowment</t>
  </si>
  <si>
    <t xml:space="preserve">Year 0 market value</t>
  </si>
  <si>
    <t xml:space="preserve">Investment Return Rate</t>
  </si>
  <si>
    <t xml:space="preserve">Long-run average</t>
  </si>
  <si>
    <t xml:space="preserve">Spending Rate</t>
  </si>
  <si>
    <t xml:space="preserve">Of opening balance</t>
  </si>
  <si>
    <t xml:space="preserve">Annual Donations</t>
  </si>
  <si>
    <t xml:space="preserve">Annual giving</t>
  </si>
  <si>
    <t xml:space="preserve">Staffing</t>
  </si>
  <si>
    <t xml:space="preserve">Student-to-Faculty Ratio</t>
  </si>
  <si>
    <t xml:space="preserve">x</t>
  </si>
  <si>
    <t xml:space="preserve">Target ratio</t>
  </si>
  <si>
    <t xml:space="preserve">Avg Faculty Salary</t>
  </si>
  <si>
    <t xml:space="preserve">Tenured + adjunct blend</t>
  </si>
  <si>
    <t xml:space="preserve">Faculty Salary Escalation</t>
  </si>
  <si>
    <t xml:space="preserve">Benefits Rate</t>
  </si>
  <si>
    <t xml:space="preserve">Of salary</t>
  </si>
  <si>
    <t xml:space="preserve">Admin Staff (Year 1)</t>
  </si>
  <si>
    <t xml:space="preserve">FTE</t>
  </si>
  <si>
    <t xml:space="preserve">Non-teaching staff</t>
  </si>
  <si>
    <t xml:space="preserve">Avg Admin Salary</t>
  </si>
  <si>
    <t xml:space="preserve">Blended average</t>
  </si>
  <si>
    <t xml:space="preserve">Admin Salary Escalation</t>
  </si>
  <si>
    <t xml:space="preserve">Operating Costs</t>
  </si>
  <si>
    <t xml:space="preserve">Facilities &amp; Maintenance</t>
  </si>
  <si>
    <t xml:space="preserve">% of revenue</t>
  </si>
  <si>
    <t xml:space="preserve">Student Services</t>
  </si>
  <si>
    <t xml:space="preserve">Marketing &amp; Recruitment</t>
  </si>
  <si>
    <t xml:space="preserve">IT &amp; Technology</t>
  </si>
  <si>
    <t xml:space="preserve">Insurance Base</t>
  </si>
  <si>
    <t xml:space="preserve">Annual premium</t>
  </si>
  <si>
    <t xml:space="preserve">Insurance Escalation</t>
  </si>
  <si>
    <t xml:space="preserve">Utilities Base</t>
  </si>
  <si>
    <t xml:space="preserve">Annual utilities cost</t>
  </si>
  <si>
    <t xml:space="preserve">Utilities Escalation</t>
  </si>
  <si>
    <t xml:space="preserve">Teaching Supplies</t>
  </si>
  <si>
    <t xml:space="preserve">Capex &amp; Depreciation</t>
  </si>
  <si>
    <t xml:space="preserve">Opening PP&amp;E (Gross)</t>
  </si>
  <si>
    <t xml:space="preserve">Campus buildings + equip</t>
  </si>
  <si>
    <t xml:space="preserve">Opening Accum. Depr.</t>
  </si>
  <si>
    <t xml:space="preserve">Year 0 accumulated</t>
  </si>
  <si>
    <t xml:space="preserve">Existing Asset Life</t>
  </si>
  <si>
    <t xml:space="preserve">Weighted average remaining</t>
  </si>
  <si>
    <t xml:space="preserve">Maintenance Capex %</t>
  </si>
  <si>
    <t xml:space="preserve">Growth Capex Y1</t>
  </si>
  <si>
    <t xml:space="preserve">New building phase</t>
  </si>
  <si>
    <t xml:space="preserve">Growth Capex Y2</t>
  </si>
  <si>
    <t xml:space="preserve">Growth Capex Y3</t>
  </si>
  <si>
    <t xml:space="preserve">Growth Capex Y4</t>
  </si>
  <si>
    <t xml:space="preserve">Growth Capex Y5</t>
  </si>
  <si>
    <t xml:space="preserve">New Asset Useful Life</t>
  </si>
  <si>
    <t xml:space="preserve">Straight-line</t>
  </si>
  <si>
    <t xml:space="preserve">Debt</t>
  </si>
  <si>
    <t xml:space="preserve">Term Loan Amount</t>
  </si>
  <si>
    <t xml:space="preserve">Revenue bonds / term loan</t>
  </si>
  <si>
    <t xml:space="preserve">Interest Rate</t>
  </si>
  <si>
    <t xml:space="preserve">Tax-exempt bond rate</t>
  </si>
  <si>
    <t xml:space="preserve">Loan Tenor</t>
  </si>
  <si>
    <t xml:space="preserve">Amortisation period</t>
  </si>
  <si>
    <t xml:space="preserve">Tax</t>
  </si>
  <si>
    <t xml:space="preserve">Effective Tax Rate</t>
  </si>
  <si>
    <t xml:space="preserve">Tax-exempt (501c3)</t>
  </si>
  <si>
    <t xml:space="preserve">Working Capital</t>
  </si>
  <si>
    <t xml:space="preserve">Days Sales Outstanding</t>
  </si>
  <si>
    <t xml:space="preserve">days</t>
  </si>
  <si>
    <t xml:space="preserve">Student receivables</t>
  </si>
  <si>
    <t xml:space="preserve">Days Payable Outstanding</t>
  </si>
  <si>
    <t xml:space="preserve">Vendor payables</t>
  </si>
  <si>
    <t xml:space="preserve">Deferred Revenue Days</t>
  </si>
  <si>
    <t xml:space="preserve">Prepaid tuition</t>
  </si>
  <si>
    <t xml:space="preserve">Prepaid Expenses %</t>
  </si>
  <si>
    <t xml:space="preserve">% of operating costs</t>
  </si>
  <si>
    <t xml:space="preserve">Opening Balance Sheet</t>
  </si>
  <si>
    <t xml:space="preserve">Opening Cash</t>
  </si>
  <si>
    <t xml:space="preserve">Year 0 cash</t>
  </si>
  <si>
    <t xml:space="preserve">Opening Net Assets</t>
  </si>
  <si>
    <t xml:space="preserve">Plug to balance Day 0 BS</t>
  </si>
  <si>
    <t xml:space="preserve">Enrolment Projections</t>
  </si>
  <si>
    <t xml:space="preserve">Student Headcount</t>
  </si>
  <si>
    <t xml:space="preserve">Year #</t>
  </si>
  <si>
    <t xml:space="preserve">Undergraduate</t>
  </si>
  <si>
    <t xml:space="preserve">Opening Enrolled</t>
  </si>
  <si>
    <t xml:space="preserve">New Intake</t>
  </si>
  <si>
    <t xml:space="preserve">Graduating</t>
  </si>
  <si>
    <t xml:space="preserve">Closing Enrolled</t>
  </si>
  <si>
    <t xml:space="preserve">Postgraduate</t>
  </si>
  <si>
    <t xml:space="preserve">TOTAL ENROLLED</t>
  </si>
  <si>
    <t xml:space="preserve">Revenue Build</t>
  </si>
  <si>
    <t xml:space="preserve">Undergraduate Tuition</t>
  </si>
  <si>
    <t xml:space="preserve">Gross Tuition</t>
  </si>
  <si>
    <t xml:space="preserve">Less: Discount</t>
  </si>
  <si>
    <t xml:space="preserve">Net UG Tuition</t>
  </si>
  <si>
    <t xml:space="preserve">Postgraduate Tuition</t>
  </si>
  <si>
    <t xml:space="preserve">Net PG Tuition</t>
  </si>
  <si>
    <t xml:space="preserve">TOTAL NET TUITION</t>
  </si>
  <si>
    <t xml:space="preserve">Grants &amp; Research</t>
  </si>
  <si>
    <t xml:space="preserve">Auxiliary Revenue</t>
  </si>
  <si>
    <t xml:space="preserve">Endowment Spending</t>
  </si>
  <si>
    <t xml:space="preserve">Total Other Revenue</t>
  </si>
  <si>
    <t xml:space="preserve">TOTAL REVENUE</t>
  </si>
  <si>
    <t xml:space="preserve">Faculty Costs</t>
  </si>
  <si>
    <t xml:space="preserve">Faculty FTE</t>
  </si>
  <si>
    <t xml:space="preserve">Faculty Salaries</t>
  </si>
  <si>
    <t xml:space="preserve">Faculty Benefits</t>
  </si>
  <si>
    <t xml:space="preserve">Total Faculty Cost</t>
  </si>
  <si>
    <t xml:space="preserve">Administrative Staff</t>
  </si>
  <si>
    <t xml:space="preserve">Admin Salaries</t>
  </si>
  <si>
    <t xml:space="preserve">Admin Benefits</t>
  </si>
  <si>
    <t xml:space="preserve">Total Admin Cost</t>
  </si>
  <si>
    <t xml:space="preserve">TOTAL STAFF COSTS</t>
  </si>
  <si>
    <t xml:space="preserve">Other Operating Costs</t>
  </si>
  <si>
    <t xml:space="preserve">Facilities &amp; Maint.</t>
  </si>
  <si>
    <t xml:space="preserve">Insurance</t>
  </si>
  <si>
    <t xml:space="preserve">Utilities</t>
  </si>
  <si>
    <t xml:space="preserve">Total Other Costs</t>
  </si>
  <si>
    <t xml:space="preserve">TOTAL OPERATING COSTS</t>
  </si>
  <si>
    <t xml:space="preserve">PP&amp;E Roll-Forward</t>
  </si>
  <si>
    <t xml:space="preserve">PP&amp;E (Gross)</t>
  </si>
  <si>
    <t xml:space="preserve">Opening Gross PP&amp;E</t>
  </si>
  <si>
    <t xml:space="preserve">Maintenance Capex</t>
  </si>
  <si>
    <t xml:space="preserve">Growth Capex</t>
  </si>
  <si>
    <t xml:space="preserve">Total Capex</t>
  </si>
  <si>
    <t xml:space="preserve">Closing Gross PP&amp;E</t>
  </si>
  <si>
    <t xml:space="preserve">Accumulated Depreciation</t>
  </si>
  <si>
    <t xml:space="preserve">Depr. (Existing)</t>
  </si>
  <si>
    <t xml:space="preserve">Depr. (New Capex)</t>
  </si>
  <si>
    <t xml:space="preserve">Total Depreciation</t>
  </si>
  <si>
    <t xml:space="preserve">Closing Accum. Depr.</t>
  </si>
  <si>
    <t xml:space="preserve">NET PP&amp;E</t>
  </si>
  <si>
    <t xml:space="preserve">Term Loan</t>
  </si>
  <si>
    <t xml:space="preserve">Opening Balance</t>
  </si>
  <si>
    <t xml:space="preserve">Drawdown</t>
  </si>
  <si>
    <t xml:space="preserve">Repayment</t>
  </si>
  <si>
    <t xml:space="preserve">Closing Balance</t>
  </si>
  <si>
    <t xml:space="preserve">Interest Expense</t>
  </si>
  <si>
    <t xml:space="preserve">Endowment Fund</t>
  </si>
  <si>
    <t xml:space="preserve">Roll-Forward</t>
  </si>
  <si>
    <t xml:space="preserve">Donations</t>
  </si>
  <si>
    <t xml:space="preserve">Investment Returns</t>
  </si>
  <si>
    <t xml:space="preserve">Less: Spending</t>
  </si>
  <si>
    <t xml:space="preserve">Income Statement</t>
  </si>
  <si>
    <t xml:space="preserve">Operating Expenses</t>
  </si>
  <si>
    <t xml:space="preserve">Admin Staff Costs</t>
  </si>
  <si>
    <t xml:space="preserve">EBITDA</t>
  </si>
  <si>
    <t xml:space="preserve">EBITDA Margin</t>
  </si>
  <si>
    <t xml:space="preserve">Depreciation</t>
  </si>
  <si>
    <t xml:space="preserve">Depreciation &amp; Amort.</t>
  </si>
  <si>
    <t xml:space="preserve">EBIT</t>
  </si>
  <si>
    <t xml:space="preserve">SURPLUS BEFORE TAX</t>
  </si>
  <si>
    <t xml:space="preserve">NET SURPLUS</t>
  </si>
  <si>
    <t xml:space="preserve">Net Margin</t>
  </si>
  <si>
    <t xml:space="preserve">Balance Sheet</t>
  </si>
  <si>
    <t xml:space="preserve">Current Assets</t>
  </si>
  <si>
    <t xml:space="preserve">Cash</t>
  </si>
  <si>
    <t xml:space="preserve">Accounts Receivable</t>
  </si>
  <si>
    <t xml:space="preserve">Prepaid Expenses</t>
  </si>
  <si>
    <t xml:space="preserve">Total Current Assets</t>
  </si>
  <si>
    <t xml:space="preserve">Non-Current Assets</t>
  </si>
  <si>
    <t xml:space="preserve">Net PP&amp;E</t>
  </si>
  <si>
    <t xml:space="preserve">Total Non-Current Assets</t>
  </si>
  <si>
    <t xml:space="preserve">TOTAL ASSETS</t>
  </si>
  <si>
    <t xml:space="preserve">Current Liabilities</t>
  </si>
  <si>
    <t xml:space="preserve">Accounts Payable</t>
  </si>
  <si>
    <t xml:space="preserve">Deferred Revenue</t>
  </si>
  <si>
    <t xml:space="preserve">Current Portion LTD</t>
  </si>
  <si>
    <t xml:space="preserve">Total Current Liabilities</t>
  </si>
  <si>
    <t xml:space="preserve">Non-Current Liabilities</t>
  </si>
  <si>
    <t xml:space="preserve">Long-Term Debt</t>
  </si>
  <si>
    <t xml:space="preserve">Total Non-Current Liab.</t>
  </si>
  <si>
    <t xml:space="preserve">TOTAL LIABILITIES</t>
  </si>
  <si>
    <t xml:space="preserve">Net Assets</t>
  </si>
  <si>
    <t xml:space="preserve">Net Assets (Unrest.)</t>
  </si>
  <si>
    <t xml:space="preserve">TOTAL LIAB. + NET ASSETS</t>
  </si>
  <si>
    <t xml:space="preserve">Balance Check (=0)</t>
  </si>
  <si>
    <t xml:space="preserve">Cash Flow Statement</t>
  </si>
  <si>
    <t xml:space="preserve">Cash from Operations</t>
  </si>
  <si>
    <t xml:space="preserve">Net Surplus</t>
  </si>
  <si>
    <t xml:space="preserve">Add: Depreciation</t>
  </si>
  <si>
    <t xml:space="preserve">Working Capital Changes</t>
  </si>
  <si>
    <t xml:space="preserve">Change in A/R</t>
  </si>
  <si>
    <t xml:space="preserve">Change in Prepaid</t>
  </si>
  <si>
    <t xml:space="preserve">Change in A/P</t>
  </si>
  <si>
    <t xml:space="preserve">Change in Deferred Rev.</t>
  </si>
  <si>
    <t xml:space="preserve">CASH FROM OPERATIONS</t>
  </si>
  <si>
    <t xml:space="preserve">Cash from Investing</t>
  </si>
  <si>
    <t xml:space="preserve">Capital Expenditure</t>
  </si>
  <si>
    <t xml:space="preserve">Endowment Additions</t>
  </si>
  <si>
    <t xml:space="preserve">CASH FROM INVESTING</t>
  </si>
  <si>
    <t xml:space="preserve">Cash from Financing</t>
  </si>
  <si>
    <t xml:space="preserve">Debt Drawdown</t>
  </si>
  <si>
    <t xml:space="preserve">Debt Repayment</t>
  </si>
  <si>
    <t xml:space="preserve">CASH FROM FINANCING</t>
  </si>
  <si>
    <t xml:space="preserve">NET CHANGE IN CASH</t>
  </si>
  <si>
    <t xml:space="preserve">Closing Cash</t>
  </si>
  <si>
    <t xml:space="preserve">Validation Checks</t>
  </si>
  <si>
    <t xml:space="preserve">Model Integrity</t>
  </si>
  <si>
    <t xml:space="preserve">BS Balance (=0)</t>
  </si>
  <si>
    <t xml:space="preserve">DSCR &gt;= 1.2x</t>
  </si>
  <si>
    <t xml:space="preserve">Op. Margin 3-15%</t>
  </si>
  <si>
    <t xml:space="preserve">Rev/Student $25-80k</t>
  </si>
  <si>
    <t xml:space="preserve">Faculty 30-45% Rev</t>
  </si>
  <si>
    <t xml:space="preserve">Stu:Fac 10-20x</t>
  </si>
  <si>
    <t xml:space="preserve">Endow Spend 3-6%</t>
  </si>
  <si>
    <t xml:space="preserve">Cash &gt;= 0</t>
  </si>
  <si>
    <t xml:space="preserve">UG Discount 35-60%</t>
  </si>
  <si>
    <t xml:space="preserve">CF Integrity (=0)</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</si>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</sst>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6">
    <numFmt numFmtId="164" formatCode="General"/>
    <numFmt numFmtId="165" formatCode="#,##0.00"/>
    <numFmt numFmtId="166" formatCode="0.00%"/>
    <numFmt numFmtId="167" formatCode="0"/>
    <numFmt numFmtId="168" formatCode="\$#,##0.00"/>
    <numFmt numFmtId="169" formatCode="@"/>
  </numFmts>
  <fonts count="28">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b val="true"/>
      <sz val="11"/>
      <color theme="3"/>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0"/>
      <name val="Arial"/>
      <family val="0"/>
      <charset val="1"/>
    </font>
    <font>
      <sz val="11"/>
      <color rgb="FF0000CC"/>
      <name val="Arial"/>
      <family val="0"/>
      <charset val="1"/>
    </font>
    <font>
      <i val="true"/>
      <sz val="11"/>
      <color rgb="FF808080"/>
      <name val="Arial"/>
      <family val="0"/>
      <charset val="1"/>
    </font>
    <font>
      <sz val="11"/>
      <color rgb="FF000000"/>
      <name val="Arial"/>
      <family val="0"/>
      <charset val="1"/>
    </font>
    <font>
      <b val="true"/>
      <sz val="11"/>
      <color rgb="FFFF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14">
    <fill>
      <patternFill patternType="none"/>
    </fill>
    <fill>
      <patternFill patternType="gray125"/>
    </fill>
    <fill>
      <patternFill patternType="solid">
        <fgColor theme="3"/>
        <bgColor rgb="FF1F4E79"/>
      </patternFill>
    </fill>
    <fill>
      <patternFill patternType="solid">
        <fgColor theme="3" tint="0.8"/>
        <bgColor rgb="FFD6E4F0"/>
      </patternFill>
    </fill>
    <fill>
      <patternFill patternType="solid">
        <fgColor rgb="FF5B9BD5"/>
        <bgColor rgb="FF808080"/>
      </patternFill>
    </fill>
    <fill>
      <patternFill patternType="solid">
        <fgColor rgb="FF70AD47"/>
        <bgColor rgb="FF99CC00"/>
      </patternFill>
    </fill>
    <fill>
      <patternFill patternType="solid">
        <fgColor rgb="FFED7D31"/>
        <bgColor rgb="FFFF8080"/>
      </patternFill>
    </fill>
    <fill>
      <patternFill patternType="solid">
        <fgColor rgb="FFA5A5A5"/>
        <bgColor rgb="FFC0C0C0"/>
      </patternFill>
    </fill>
    <fill>
      <patternFill patternType="solid">
        <fgColor rgb="FFFF0000"/>
        <bgColor rgb="FF993300"/>
      </patternFill>
    </fill>
    <fill>
      <patternFill patternType="solid">
        <fgColor rgb="FF7030A0"/>
        <bgColor rgb="FF993366"/>
      </patternFill>
    </fill>
    <fill>
      <patternFill patternType="solid">
        <fgColor rgb="FFD6E4F0"/>
        <bgColor rgb="FFC6D9F1"/>
      </patternFill>
    </fill>
    <fill>
      <patternFill patternType="solid">
        <fgColor rgb="FFE8F0FE"/>
        <bgColor rgb="FFF2F2F2"/>
      </patternFill>
    </fill>
    <fill>
      <patternFill patternType="solid">
        <fgColor rgb="FF1F4E79"/>
        <bgColor rgb="FF1F497D"/>
      </patternFill>
    </fill>
    <fill>
      <patternFill patternType="solid">
        <fgColor rgb="FFF2F2F2"/>
        <bgColor rgb="FFE8F0FE"/>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1" fillId="3" borderId="0" xfId="0" applyFont="true" applyBorder="false" applyAlignment="false" applyProtection="false">
      <alignment horizontal="general" vertical="bottom" textRotation="0" wrapText="fals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9" fillId="6" borderId="0" xfId="0" applyFont="true" applyBorder="false" applyAlignment="false" applyProtection="false">
      <alignment horizontal="general" vertical="bottom" textRotation="0" wrapText="false" indent="0" shrinkToFit="false"/>
      <protection locked="true" hidden="false"/>
    </xf>
    <xf numFmtId="164" fontId="9" fillId="7" borderId="0" xfId="0" applyFont="true" applyBorder="false" applyAlignment="false" applyProtection="false">
      <alignment horizontal="general" vertical="bottom" textRotation="0" wrapText="false" indent="0" shrinkToFit="false"/>
      <protection locked="true" hidden="false"/>
    </xf>
    <xf numFmtId="164" fontId="9" fillId="8" borderId="0" xfId="0" applyFont="true" applyBorder="false" applyAlignment="false" applyProtection="false">
      <alignment horizontal="general" vertical="bottom" textRotation="0" wrapText="false" indent="0" shrinkToFit="false"/>
      <protection locked="true" hidden="false"/>
    </xf>
    <xf numFmtId="164" fontId="9" fillId="9" borderId="0" xfId="0" applyFont="true" applyBorder="false" applyAlignment="false" applyProtection="false">
      <alignment horizontal="general" vertical="bottom" textRotation="0" wrapText="false" indent="0" shrinkToFit="false"/>
      <protection locked="true" hidden="false"/>
    </xf>
    <xf numFmtId="164" fontId="12" fillId="10" borderId="0" xfId="0" applyFont="true" applyBorder="false" applyAlignment="true" applyProtection="false">
      <alignment horizontal="left" vertical="center" textRotation="0" wrapText="false" indent="0" shrinkToFit="false"/>
      <protection locked="true" hidden="false"/>
    </xf>
    <xf numFmtId="164" fontId="13" fillId="1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2" borderId="0" xfId="0" applyFont="true" applyBorder="false" applyAlignment="true" applyProtection="false">
      <alignment horizontal="center" vertical="bottom" textRotation="0" wrapText="false" indent="0" shrinkToFit="false"/>
      <protection locked="true" hidden="false"/>
    </xf>
    <xf numFmtId="165" fontId="18" fillId="11" borderId="0" xfId="0" applyFont="true" applyBorder="false" applyAlignment="true" applyProtection="false">
      <alignment horizontal="right" vertical="bottom" textRotation="0" wrapText="false" indent="0" shrinkToFit="false"/>
      <protection locked="true" hidden="false"/>
    </xf>
    <xf numFmtId="164" fontId="19" fillId="0" borderId="0" xfId="0" applyFont="true" applyBorder="false" applyAlignment="true" applyProtection="false">
      <alignment horizontal="left" vertical="bottom" textRotation="0" wrapText="false" indent="0" shrinkToFit="false"/>
      <protection locked="true" hidden="false"/>
    </xf>
    <xf numFmtId="166" fontId="18" fillId="11" borderId="0" xfId="0" applyFont="true" applyBorder="false" applyAlignment="true" applyProtection="false">
      <alignment horizontal="right"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7" fontId="17" fillId="2" borderId="0" xfId="0" applyFont="true" applyBorder="false" applyAlignment="true" applyProtection="false">
      <alignment horizontal="center" vertical="bottom" textRotation="0" wrapText="false" indent="0" shrinkToFit="false"/>
      <protection locked="true" hidden="false"/>
    </xf>
    <xf numFmtId="167" fontId="19" fillId="0" borderId="0" xfId="0" applyFont="true" applyBorder="false" applyAlignment="true" applyProtection="false">
      <alignment horizontal="right" vertical="bottom" textRotation="0" wrapText="false" indent="0" shrinkToFit="false"/>
      <protection locked="true" hidden="false"/>
    </xf>
    <xf numFmtId="165" fontId="20"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65" fontId="10" fillId="0" borderId="1" xfId="0" applyFont="true" applyBorder="true" applyAlignment="true" applyProtection="false">
      <alignment horizontal="right" vertical="bottom" textRotation="0" wrapText="false" indent="0" shrinkToFit="false"/>
      <protection locked="true" hidden="false"/>
    </xf>
    <xf numFmtId="165" fontId="10" fillId="0" borderId="2" xfId="0" applyFont="true" applyBorder="true" applyAlignment="true" applyProtection="false">
      <alignment horizontal="right" vertical="bottom" textRotation="0" wrapText="false" indent="0" shrinkToFit="false"/>
      <protection locked="true" hidden="false"/>
    </xf>
    <xf numFmtId="168" fontId="20" fillId="0" borderId="0" xfId="0" applyFont="true" applyBorder="false" applyAlignment="true" applyProtection="false">
      <alignment horizontal="right" vertical="bottom" textRotation="0" wrapText="false" indent="0" shrinkToFit="false"/>
      <protection locked="true" hidden="false"/>
    </xf>
    <xf numFmtId="168" fontId="10" fillId="0" borderId="1" xfId="0" applyFont="true" applyBorder="true" applyAlignment="true" applyProtection="false">
      <alignment horizontal="right" vertical="bottom" textRotation="0" wrapText="false" indent="0" shrinkToFit="false"/>
      <protection locked="true" hidden="false"/>
    </xf>
    <xf numFmtId="168" fontId="10" fillId="0" borderId="2" xfId="0" applyFont="true" applyBorder="true" applyAlignment="true" applyProtection="false">
      <alignment horizontal="right" vertical="bottom" textRotation="0" wrapText="false" indent="0" shrinkToFit="false"/>
      <protection locked="true" hidden="false"/>
    </xf>
    <xf numFmtId="166" fontId="19" fillId="0" borderId="0" xfId="0" applyFont="true" applyBorder="false" applyAlignment="true" applyProtection="false">
      <alignment horizontal="right" vertical="bottom" textRotation="0" wrapText="false" indent="0" shrinkToFit="false"/>
      <protection locked="true" hidden="false"/>
    </xf>
    <xf numFmtId="165" fontId="21" fillId="0" borderId="0" xfId="0" applyFont="true" applyBorder="false" applyAlignment="true" applyProtection="false">
      <alignment horizontal="right" vertical="bottom" textRotation="0" wrapText="false" indent="0" shrinkToFit="false"/>
      <protection locked="true" hidden="false"/>
    </xf>
    <xf numFmtId="169" fontId="20" fillId="0" borderId="0" xfId="0" applyFont="true" applyBorder="false" applyAlignment="true" applyProtection="false">
      <alignment horizontal="right" vertical="bottom"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13" fillId="0" borderId="3" xfId="0" applyFont="true" applyBorder="true" applyAlignment="false" applyProtection="false">
      <alignment horizontal="general" vertical="bottom" textRotation="0" wrapText="false" indent="0" shrinkToFit="false"/>
      <protection locked="true" hidden="false"/>
    </xf>
    <xf numFmtId="164" fontId="23" fillId="12" borderId="0" xfId="0" applyFont="true" applyBorder="false" applyAlignment="true" applyProtection="false">
      <alignment horizontal="left" vertical="center" textRotation="0" wrapText="false" indent="1" shrinkToFit="false"/>
      <protection locked="true" hidden="false"/>
    </xf>
    <xf numFmtId="164" fontId="24" fillId="0" borderId="0" xfId="0" applyFont="true" applyBorder="false" applyAlignment="true" applyProtection="false">
      <alignment horizontal="left" vertical="top" textRotation="0" wrapText="true" indent="1" shrinkToFit="false"/>
      <protection locked="true" hidden="false"/>
    </xf>
    <xf numFmtId="164" fontId="25"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6" fillId="13" borderId="0" xfId="0" applyFont="true" applyBorder="false" applyAlignment="true" applyProtection="false">
      <alignment horizontal="left" vertical="top" textRotation="0" wrapText="true" indent="1" shrinkToFit="false"/>
      <protection locked="true" hidden="false"/>
    </xf>
    <xf numFmtId="164" fontId="27"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CC"/>
      <rgbColor rgb="FFFFFF00"/>
      <rgbColor rgb="FFFF00FF"/>
      <rgbColor rgb="FF00FFFF"/>
      <rgbColor rgb="FF800000"/>
      <rgbColor rgb="FF008000"/>
      <rgbColor rgb="FF000080"/>
      <rgbColor rgb="FF808000"/>
      <rgbColor rgb="FF800080"/>
      <rgbColor rgb="FF008080"/>
      <rgbColor rgb="FFC0C0C0"/>
      <rgbColor rgb="FF808080"/>
      <rgbColor rgb="FF5B9BD5"/>
      <rgbColor rgb="FF7030A0"/>
      <rgbColor rgb="FFF2F2F2"/>
      <rgbColor rgb="FFE8F0FE"/>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9"/>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0"/>
    <col collapsed="false" customWidth="true" hidden="false" outlineLevel="0" max="3" min="3" style="0" width="30"/>
    <col collapsed="false" customWidth="true" hidden="false" outlineLevel="0" max="4" min="4" style="0" width="20"/>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row>
    <row r="5" customFormat="false" ht="15" hidden="false" customHeight="false" outlineLevel="0" collapsed="false">
      <c r="A5" s="6"/>
      <c r="B5" s="7" t="s">
        <v>3</v>
      </c>
      <c r="C5" s="8" t="s">
        <v>4</v>
      </c>
      <c r="D5" s="6"/>
    </row>
    <row r="6" customFormat="false" ht="15" hidden="false" customHeight="false" outlineLevel="0" collapsed="false">
      <c r="A6" s="6"/>
      <c r="B6" s="7" t="s">
        <v>5</v>
      </c>
      <c r="C6" s="8" t="s">
        <v>6</v>
      </c>
      <c r="D6" s="6"/>
    </row>
    <row r="7" customFormat="false" ht="15" hidden="false" customHeight="false" outlineLevel="0" collapsed="false">
      <c r="A7" s="6"/>
      <c r="B7" s="7" t="s">
        <v>7</v>
      </c>
      <c r="C7" s="8" t="s">
        <v>8</v>
      </c>
      <c r="D7" s="6"/>
    </row>
    <row r="8" customFormat="false" ht="15" hidden="false" customHeight="false" outlineLevel="0" collapsed="false">
      <c r="A8" s="6"/>
      <c r="B8" s="7" t="s">
        <v>9</v>
      </c>
      <c r="C8" s="8" t="s">
        <v>10</v>
      </c>
      <c r="D8" s="6"/>
    </row>
    <row r="9" customFormat="false" ht="15" hidden="false" customHeight="false" outlineLevel="0" collapsed="false">
      <c r="A9" s="6"/>
      <c r="B9" s="6"/>
      <c r="C9" s="6"/>
      <c r="D9" s="6"/>
    </row>
    <row r="10" customFormat="false" ht="15" hidden="false" customHeight="false" outlineLevel="0" collapsed="false">
      <c r="A10" s="6"/>
      <c r="B10" s="9" t="s">
        <v>11</v>
      </c>
      <c r="C10" s="10"/>
      <c r="D10" s="10"/>
    </row>
    <row r="11" customFormat="false" ht="15" hidden="false" customHeight="false" outlineLevel="0" collapsed="false">
      <c r="A11" s="6"/>
      <c r="B11" s="7" t="s">
        <v>12</v>
      </c>
      <c r="C11" s="8" t="s">
        <v>13</v>
      </c>
      <c r="D11" s="6"/>
    </row>
    <row r="12" customFormat="false" ht="15" hidden="false" customHeight="false" outlineLevel="0" collapsed="false">
      <c r="A12" s="6"/>
      <c r="B12" s="7" t="s">
        <v>14</v>
      </c>
      <c r="C12" s="8" t="s">
        <v>15</v>
      </c>
      <c r="D12" s="6"/>
    </row>
    <row r="13" customFormat="false" ht="15" hidden="false" customHeight="false" outlineLevel="0" collapsed="false">
      <c r="A13" s="6"/>
      <c r="B13" s="7" t="s">
        <v>16</v>
      </c>
      <c r="C13" s="8" t="s">
        <v>17</v>
      </c>
      <c r="D13" s="6"/>
    </row>
    <row r="14" customFormat="false" ht="15" hidden="false" customHeight="false" outlineLevel="0" collapsed="false">
      <c r="A14" s="6"/>
      <c r="B14" s="7" t="s">
        <v>18</v>
      </c>
      <c r="C14" s="8" t="s">
        <v>19</v>
      </c>
      <c r="D14" s="6"/>
    </row>
    <row r="15" customFormat="false" ht="15" hidden="false" customHeight="false" outlineLevel="0" collapsed="false">
      <c r="A15" s="6"/>
      <c r="B15" s="7" t="s">
        <v>20</v>
      </c>
      <c r="C15" s="8" t="s">
        <v>21</v>
      </c>
      <c r="D15" s="6"/>
    </row>
    <row r="16" customFormat="false" ht="15" hidden="false" customHeight="false" outlineLevel="0" collapsed="false">
      <c r="A16" s="6"/>
      <c r="B16" s="7" t="s">
        <v>22</v>
      </c>
      <c r="C16" s="8" t="s">
        <v>23</v>
      </c>
      <c r="D16" s="6"/>
    </row>
    <row r="17" customFormat="false" ht="15" hidden="false" customHeight="false" outlineLevel="0" collapsed="false">
      <c r="A17" s="6"/>
      <c r="B17" s="7" t="s">
        <v>24</v>
      </c>
      <c r="C17" s="8" t="s">
        <v>25</v>
      </c>
      <c r="D17" s="6"/>
    </row>
    <row r="18" customFormat="false" ht="15" hidden="false" customHeight="false" outlineLevel="0" collapsed="false">
      <c r="A18" s="6"/>
      <c r="B18" s="7" t="s">
        <v>26</v>
      </c>
      <c r="C18" s="8" t="s">
        <v>27</v>
      </c>
      <c r="D18" s="6"/>
    </row>
    <row r="19" customFormat="false" ht="15" hidden="false" customHeight="false" outlineLevel="0" collapsed="false">
      <c r="A19" s="6"/>
      <c r="B19" s="7" t="s">
        <v>28</v>
      </c>
      <c r="C19" s="8" t="s">
        <v>29</v>
      </c>
      <c r="D19" s="6"/>
    </row>
    <row r="20" customFormat="false" ht="15" hidden="false" customHeight="false" outlineLevel="0" collapsed="false">
      <c r="A20" s="6"/>
      <c r="B20" s="7" t="s">
        <v>30</v>
      </c>
      <c r="C20" s="8" t="s">
        <v>31</v>
      </c>
      <c r="D20" s="6"/>
    </row>
    <row r="21" customFormat="false" ht="15" hidden="false" customHeight="false" outlineLevel="0" collapsed="false">
      <c r="A21" s="6"/>
      <c r="B21" s="7" t="s">
        <v>32</v>
      </c>
      <c r="C21" s="8" t="s">
        <v>33</v>
      </c>
      <c r="D21" s="6"/>
    </row>
    <row r="22" customFormat="false" ht="15" hidden="false" customHeight="false" outlineLevel="0" collapsed="false">
      <c r="A22" s="6"/>
      <c r="B22" s="6"/>
      <c r="C22" s="6"/>
      <c r="D22" s="6"/>
    </row>
    <row r="23" customFormat="false" ht="15" hidden="false" customHeight="false" outlineLevel="0" collapsed="false">
      <c r="A23" s="6"/>
      <c r="B23" s="9" t="s">
        <v>34</v>
      </c>
      <c r="C23" s="10"/>
      <c r="D23" s="10"/>
    </row>
    <row r="24" customFormat="false" ht="15" hidden="false" customHeight="false" outlineLevel="0" collapsed="false">
      <c r="A24" s="6"/>
      <c r="B24" s="7" t="s">
        <v>35</v>
      </c>
      <c r="C24" s="8" t="s">
        <v>36</v>
      </c>
      <c r="D24" s="11"/>
    </row>
    <row r="25" customFormat="false" ht="15" hidden="false" customHeight="false" outlineLevel="0" collapsed="false">
      <c r="A25" s="6"/>
      <c r="B25" s="7" t="s">
        <v>37</v>
      </c>
      <c r="C25" s="8" t="s">
        <v>38</v>
      </c>
      <c r="D25" s="12"/>
    </row>
    <row r="26" customFormat="false" ht="15" hidden="false" customHeight="false" outlineLevel="0" collapsed="false">
      <c r="A26" s="6"/>
      <c r="B26" s="7" t="s">
        <v>39</v>
      </c>
      <c r="C26" s="8" t="s">
        <v>40</v>
      </c>
      <c r="D26" s="13"/>
    </row>
    <row r="27" customFormat="false" ht="15" hidden="false" customHeight="false" outlineLevel="0" collapsed="false">
      <c r="A27" s="6"/>
      <c r="B27" s="7" t="s">
        <v>41</v>
      </c>
      <c r="C27" s="8" t="s">
        <v>42</v>
      </c>
      <c r="D27" s="14"/>
    </row>
    <row r="28" customFormat="false" ht="15" hidden="false" customHeight="false" outlineLevel="0" collapsed="false">
      <c r="A28" s="6"/>
      <c r="B28" s="7" t="s">
        <v>43</v>
      </c>
      <c r="C28" s="8" t="s">
        <v>44</v>
      </c>
      <c r="D28" s="15"/>
    </row>
    <row r="29" customFormat="false" ht="15" hidden="false" customHeight="false" outlineLevel="0" collapsed="false">
      <c r="A29" s="6"/>
      <c r="B29" s="7" t="s">
        <v>45</v>
      </c>
      <c r="C29" s="8" t="s">
        <v>46</v>
      </c>
      <c r="D29" s="16"/>
    </row>
    <row r="30" customFormat="false" ht="15" hidden="false" customHeight="false" outlineLevel="0" collapsed="false">
      <c r="A30" s="6"/>
      <c r="B30" s="7" t="s">
        <v>47</v>
      </c>
      <c r="C30" s="8" t="s">
        <v>32</v>
      </c>
      <c r="D30" s="17"/>
    </row>
    <row r="33" customFormat="false" ht="19.5" hidden="false" customHeight="true" outlineLevel="0" collapsed="false">
      <c r="B33" s="18" t="s">
        <v>48</v>
      </c>
      <c r="C33" s="19"/>
      <c r="D33" s="19"/>
      <c r="E33" s="19"/>
      <c r="F33" s="19"/>
      <c r="G33" s="19"/>
    </row>
    <row r="34" customFormat="false" ht="220.5" hidden="false" customHeight="true" outlineLevel="0" collapsed="false">
      <c r="B34" s="20" t="s">
        <v>49</v>
      </c>
      <c r="C34" s="20"/>
      <c r="D34" s="20"/>
      <c r="E34" s="20"/>
      <c r="F34" s="20"/>
      <c r="G34" s="20"/>
    </row>
    <row r="36" customFormat="false" ht="19.5" hidden="false" customHeight="true" outlineLevel="0" collapsed="false">
      <c r="B36" s="18" t="s">
        <v>50</v>
      </c>
      <c r="C36" s="19"/>
      <c r="D36" s="19"/>
      <c r="E36" s="19"/>
      <c r="F36" s="19"/>
      <c r="G36" s="19"/>
    </row>
    <row r="37" customFormat="false" ht="57" hidden="false" customHeight="true" outlineLevel="0" collapsed="false">
      <c r="B37" s="20" t="s">
        <v>51</v>
      </c>
      <c r="C37" s="20"/>
      <c r="D37" s="20"/>
      <c r="E37" s="20"/>
      <c r="F37" s="20"/>
      <c r="G37" s="20"/>
    </row>
    <row r="38" customFormat="false" ht="15" hidden="false" customHeight="false" outlineLevel="0" collapsed="false">
      <c r="B38" s="21" t="s">
        <v>52</v>
      </c>
      <c r="C38" s="21"/>
      <c r="D38" s="21"/>
      <c r="E38" s="21"/>
      <c r="F38" s="21"/>
      <c r="G38" s="21"/>
    </row>
    <row r="39" customFormat="false" ht="15" hidden="false" customHeight="false" outlineLevel="0" collapsed="false">
      <c r="B39" s="22" t="s">
        <v>53</v>
      </c>
    </row>
  </sheetData>
  <mergeCells count="3">
    <mergeCell ref="B34:G34"/>
    <mergeCell ref="B37:G37"/>
    <mergeCell ref="B38:G38"/>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3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250</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7"/>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25" t="s">
        <v>178</v>
      </c>
      <c r="C6" s="29" t="n">
        <f aca="false">COLUMN()-2</f>
        <v>1</v>
      </c>
      <c r="D6" s="29" t="n">
        <f aca="false">COLUMN()-2</f>
        <v>2</v>
      </c>
      <c r="E6" s="29" t="n">
        <f aca="false">COLUMN()-2</f>
        <v>3</v>
      </c>
      <c r="F6" s="29" t="n">
        <f aca="false">COLUMN()-2</f>
        <v>4</v>
      </c>
      <c r="G6" s="29"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251</v>
      </c>
      <c r="C8" s="10"/>
      <c r="D8" s="10"/>
      <c r="E8" s="10"/>
      <c r="F8" s="10"/>
      <c r="G8" s="10"/>
    </row>
    <row r="9" customFormat="false" ht="15" hidden="false" customHeight="false" outlineLevel="0" collapsed="false">
      <c r="A9" s="6"/>
      <c r="B9" s="31" t="s">
        <v>252</v>
      </c>
      <c r="C9" s="34" t="n">
        <f aca="false">Cash_Flow!C$31</f>
        <v>215890414.2</v>
      </c>
      <c r="D9" s="34" t="n">
        <f aca="false">Cash_Flow!D$31</f>
        <v>341992917.772</v>
      </c>
      <c r="E9" s="34" t="n">
        <f aca="false">Cash_Flow!E$31</f>
        <v>449744180.71663</v>
      </c>
      <c r="F9" s="34" t="n">
        <f aca="false">Cash_Flow!F$31</f>
        <v>544813405.939816</v>
      </c>
      <c r="G9" s="34" t="n">
        <f aca="false">Cash_Flow!G$31</f>
        <v>629466764.134031</v>
      </c>
    </row>
    <row r="10" customFormat="false" ht="15" hidden="false" customHeight="false" outlineLevel="0" collapsed="false">
      <c r="A10" s="6"/>
      <c r="B10" s="31" t="s">
        <v>253</v>
      </c>
      <c r="C10" s="34" t="n">
        <f aca="false">Income_Statement!C$14*DSO_Days/365</f>
        <v>46932604.6575343</v>
      </c>
      <c r="D10" s="34" t="n">
        <f aca="false">Income_Statement!D$14*DSO_Days/365</f>
        <v>37840123.7315069</v>
      </c>
      <c r="E10" s="34" t="n">
        <f aca="false">Income_Statement!E$14*DSO_Days/365</f>
        <v>32110528.8530274</v>
      </c>
      <c r="F10" s="34" t="n">
        <f aca="false">Income_Statement!F$14*DSO_Days/365</f>
        <v>28591894.647762</v>
      </c>
      <c r="G10" s="34" t="n">
        <f aca="false">Income_Statement!G$14*DSO_Days/365</f>
        <v>26548229.4473616</v>
      </c>
    </row>
    <row r="11" customFormat="false" ht="15" hidden="false" customHeight="false" outlineLevel="0" collapsed="false">
      <c r="A11" s="6"/>
      <c r="B11" s="31" t="s">
        <v>254</v>
      </c>
      <c r="C11" s="34" t="n">
        <f aca="false">Income_Statement!C$26*Prepaid_Pct</f>
        <v>5229552.096</v>
      </c>
      <c r="D11" s="34" t="n">
        <f aca="false">Income_Statement!D$26*Prepaid_Pct</f>
        <v>4327300.15936</v>
      </c>
      <c r="E11" s="34" t="n">
        <f aca="false">Income_Statement!E$26*Prepaid_Pct</f>
        <v>3762646.6724144</v>
      </c>
      <c r="F11" s="34" t="n">
        <f aca="false">Income_Statement!F$26*Prepaid_Pct</f>
        <v>3422695.1921714</v>
      </c>
      <c r="G11" s="34" t="n">
        <f aca="false">Income_Statement!G$26*Prepaid_Pct</f>
        <v>3229674.87090007</v>
      </c>
    </row>
    <row r="12" customFormat="false" ht="15" hidden="false" customHeight="false" outlineLevel="0" collapsed="false">
      <c r="A12" s="6"/>
      <c r="B12" s="7" t="s">
        <v>255</v>
      </c>
      <c r="C12" s="35" t="n">
        <f aca="false">SUM(C9:C11)</f>
        <v>268052570.953534</v>
      </c>
      <c r="D12" s="35" t="n">
        <f aca="false">SUM(D9:D11)</f>
        <v>384160341.662867</v>
      </c>
      <c r="E12" s="35" t="n">
        <f aca="false">SUM(E9:E11)</f>
        <v>485617356.242072</v>
      </c>
      <c r="F12" s="35" t="n">
        <f aca="false">SUM(F9:F11)</f>
        <v>576827995.77975</v>
      </c>
      <c r="G12" s="35" t="n">
        <f aca="false">SUM(G9:G11)</f>
        <v>659244668.452293</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9" t="s">
        <v>256</v>
      </c>
      <c r="C14" s="10"/>
      <c r="D14" s="10"/>
      <c r="E14" s="10"/>
      <c r="F14" s="10"/>
      <c r="G14" s="10"/>
    </row>
    <row r="15" customFormat="false" ht="15" hidden="false" customHeight="false" outlineLevel="0" collapsed="false">
      <c r="A15" s="6"/>
      <c r="B15" s="31" t="s">
        <v>257</v>
      </c>
      <c r="C15" s="34" t="n">
        <f aca="false">Capex_Depreciation!C$21</f>
        <v>320831734.283333</v>
      </c>
      <c r="D15" s="34" t="n">
        <f aca="false">Capex_Depreciation!D$21</f>
        <v>339935843.143667</v>
      </c>
      <c r="E15" s="34" t="n">
        <f aca="false">Capex_Depreciation!E$21</f>
        <v>344715210.172267</v>
      </c>
      <c r="F15" s="34" t="n">
        <f aca="false">Capex_Depreciation!F$21</f>
        <v>341664429.254806</v>
      </c>
      <c r="G15" s="34" t="n">
        <f aca="false">Capex_Depreciation!G$21</f>
        <v>336605872.643687</v>
      </c>
    </row>
    <row r="16" customFormat="false" ht="15" hidden="false" customHeight="false" outlineLevel="0" collapsed="false">
      <c r="A16" s="6"/>
      <c r="B16" s="31" t="s">
        <v>24</v>
      </c>
      <c r="C16" s="34" t="n">
        <f aca="false">Endowment!C$12</f>
        <v>261250000</v>
      </c>
      <c r="D16" s="34" t="n">
        <f aca="false">Endowment!D$12</f>
        <v>272781250</v>
      </c>
      <c r="E16" s="34" t="n">
        <f aca="false">Endowment!E$12</f>
        <v>284600781.25</v>
      </c>
      <c r="F16" s="34" t="n">
        <f aca="false">Endowment!F$12</f>
        <v>296715800.78125</v>
      </c>
      <c r="G16" s="34" t="n">
        <f aca="false">Endowment!G$12</f>
        <v>309133695.800781</v>
      </c>
    </row>
    <row r="17" customFormat="false" ht="15" hidden="false" customHeight="false" outlineLevel="0" collapsed="false">
      <c r="A17" s="6"/>
      <c r="B17" s="7" t="s">
        <v>258</v>
      </c>
      <c r="C17" s="35" t="n">
        <f aca="false">C15+C16</f>
        <v>582081734.283333</v>
      </c>
      <c r="D17" s="35" t="n">
        <f aca="false">D15+D16</f>
        <v>612717093.143667</v>
      </c>
      <c r="E17" s="35" t="n">
        <f aca="false">E15+E16</f>
        <v>629315991.422267</v>
      </c>
      <c r="F17" s="35" t="n">
        <f aca="false">F15+F16</f>
        <v>638380230.036056</v>
      </c>
      <c r="G17" s="35" t="n">
        <f aca="false">G15+G16</f>
        <v>645739568.444468</v>
      </c>
    </row>
    <row r="18" customFormat="false" ht="15" hidden="false" customHeight="false" outlineLevel="0" collapsed="false">
      <c r="A18" s="6"/>
      <c r="B18" s="6"/>
      <c r="C18" s="6"/>
      <c r="D18" s="6"/>
      <c r="E18" s="6"/>
      <c r="F18" s="6"/>
      <c r="G18" s="6"/>
    </row>
    <row r="19" customFormat="false" ht="15" hidden="false" customHeight="false" outlineLevel="0" collapsed="false">
      <c r="A19" s="6"/>
      <c r="B19" s="7" t="s">
        <v>259</v>
      </c>
      <c r="C19" s="36" t="n">
        <f aca="false">C12+C17</f>
        <v>850134305.236868</v>
      </c>
      <c r="D19" s="36" t="n">
        <f aca="false">D12+D17</f>
        <v>996877434.806534</v>
      </c>
      <c r="E19" s="36" t="n">
        <f aca="false">E12+E17</f>
        <v>1114933347.66434</v>
      </c>
      <c r="F19" s="36" t="n">
        <f aca="false">F12+F17</f>
        <v>1215208225.81581</v>
      </c>
      <c r="G19" s="36" t="n">
        <f aca="false">G12+G17</f>
        <v>1304984236.89676</v>
      </c>
    </row>
    <row r="20" customFormat="false" ht="15" hidden="false" customHeight="false" outlineLevel="0" collapsed="false">
      <c r="A20" s="6"/>
      <c r="B20" s="6"/>
      <c r="C20" s="6"/>
      <c r="D20" s="6"/>
      <c r="E20" s="6"/>
      <c r="F20" s="6"/>
      <c r="G20" s="6"/>
    </row>
    <row r="21" customFormat="false" ht="15" hidden="false" customHeight="false" outlineLevel="0" collapsed="false">
      <c r="A21" s="6"/>
      <c r="B21" s="6"/>
      <c r="C21" s="6"/>
      <c r="D21" s="6"/>
      <c r="E21" s="6"/>
      <c r="F21" s="6"/>
      <c r="G21" s="6"/>
    </row>
    <row r="22" customFormat="false" ht="15" hidden="false" customHeight="false" outlineLevel="0" collapsed="false">
      <c r="A22" s="6"/>
      <c r="B22" s="9" t="s">
        <v>260</v>
      </c>
      <c r="C22" s="10"/>
      <c r="D22" s="10"/>
      <c r="E22" s="10"/>
      <c r="F22" s="10"/>
      <c r="G22" s="10"/>
    </row>
    <row r="23" customFormat="false" ht="15" hidden="false" customHeight="false" outlineLevel="0" collapsed="false">
      <c r="A23" s="6"/>
      <c r="B23" s="31" t="s">
        <v>261</v>
      </c>
      <c r="C23" s="34" t="n">
        <f aca="false">Income_Statement!C$26*DPO_Days/365</f>
        <v>28655079.9780822</v>
      </c>
      <c r="D23" s="34" t="n">
        <f aca="false">Income_Statement!D$26*DPO_Days/365</f>
        <v>23711233.7499178</v>
      </c>
      <c r="E23" s="34" t="n">
        <f aca="false">Income_Statement!E$26*DPO_Days/365</f>
        <v>20617242.0406269</v>
      </c>
      <c r="F23" s="34" t="n">
        <f aca="false">Income_Statement!F$26*DPO_Days/365</f>
        <v>18754494.2036789</v>
      </c>
      <c r="G23" s="34" t="n">
        <f aca="false">Income_Statement!G$26*DPO_Days/365</f>
        <v>17696848.6076716</v>
      </c>
    </row>
    <row r="24" customFormat="false" ht="15" hidden="false" customHeight="false" outlineLevel="0" collapsed="false">
      <c r="A24" s="6"/>
      <c r="B24" s="31" t="s">
        <v>262</v>
      </c>
      <c r="C24" s="34" t="n">
        <f aca="false">Income_Statement!C$14*Defer_Rev_Days/365</f>
        <v>60341920.2739726</v>
      </c>
      <c r="D24" s="34" t="n">
        <f aca="false">Income_Statement!D$14*Defer_Rev_Days/365</f>
        <v>48651587.6547945</v>
      </c>
      <c r="E24" s="34" t="n">
        <f aca="false">Income_Statement!E$14*Defer_Rev_Days/365</f>
        <v>41284965.6681781</v>
      </c>
      <c r="F24" s="34" t="n">
        <f aca="false">Income_Statement!F$14*Defer_Rev_Days/365</f>
        <v>36761007.4042654</v>
      </c>
      <c r="G24" s="34" t="n">
        <f aca="false">Income_Statement!G$14*Defer_Rev_Days/365</f>
        <v>34133437.8608935</v>
      </c>
    </row>
    <row r="25" customFormat="false" ht="15" hidden="false" customHeight="false" outlineLevel="0" collapsed="false">
      <c r="A25" s="6"/>
      <c r="B25" s="31" t="s">
        <v>263</v>
      </c>
      <c r="C25" s="34" t="n">
        <f aca="false">MIN(Term_Loan_Amt/Term_Tenor,Debt_Schedule!$C$11:$G$11)</f>
        <v>4000000</v>
      </c>
      <c r="D25" s="34" t="n">
        <f aca="false">MIN(Term_Loan_Amt/Term_Tenor,Debt_Schedule!$C$11:$G$11)</f>
        <v>4000000</v>
      </c>
      <c r="E25" s="34" t="n">
        <f aca="false">MIN(Term_Loan_Amt/Term_Tenor,Debt_Schedule!$C$11:$G$11)</f>
        <v>4000000</v>
      </c>
      <c r="F25" s="34" t="n">
        <f aca="false">MIN(Term_Loan_Amt/Term_Tenor,Debt_Schedule!$C$11:$G$11)</f>
        <v>4000000</v>
      </c>
      <c r="G25" s="34" t="n">
        <f aca="false">MIN(Term_Loan_Amt/Term_Tenor,Debt_Schedule!$C$11:$G$11)</f>
        <v>4000000</v>
      </c>
    </row>
    <row r="26" customFormat="false" ht="15" hidden="false" customHeight="false" outlineLevel="0" collapsed="false">
      <c r="A26" s="6"/>
      <c r="B26" s="7" t="s">
        <v>264</v>
      </c>
      <c r="C26" s="35" t="n">
        <f aca="false">SUM(C23:C25)</f>
        <v>92997000.2520548</v>
      </c>
      <c r="D26" s="35" t="n">
        <f aca="false">SUM(D23:D25)</f>
        <v>76362821.4047123</v>
      </c>
      <c r="E26" s="35" t="n">
        <f aca="false">SUM(E23:E25)</f>
        <v>65902207.7088049</v>
      </c>
      <c r="F26" s="35" t="n">
        <f aca="false">SUM(F23:F25)</f>
        <v>59515501.6079443</v>
      </c>
      <c r="G26" s="35" t="n">
        <f aca="false">SUM(G23:G25)</f>
        <v>55830286.4685652</v>
      </c>
    </row>
    <row r="27" customFormat="false" ht="15" hidden="false" customHeight="false" outlineLevel="0" collapsed="false">
      <c r="A27" s="6"/>
      <c r="B27" s="6"/>
      <c r="C27" s="6"/>
      <c r="D27" s="6"/>
      <c r="E27" s="6"/>
      <c r="F27" s="6"/>
      <c r="G27" s="6"/>
    </row>
    <row r="28" customFormat="false" ht="15" hidden="false" customHeight="false" outlineLevel="0" collapsed="false">
      <c r="A28" s="6"/>
      <c r="B28" s="9" t="s">
        <v>265</v>
      </c>
      <c r="C28" s="10"/>
      <c r="D28" s="10"/>
      <c r="E28" s="10"/>
      <c r="F28" s="10"/>
      <c r="G28" s="10"/>
    </row>
    <row r="29" customFormat="false" ht="15" hidden="false" customHeight="false" outlineLevel="0" collapsed="false">
      <c r="A29" s="6"/>
      <c r="B29" s="31" t="s">
        <v>266</v>
      </c>
      <c r="C29" s="34" t="n">
        <f aca="false">MAX(0,Debt_Schedule!$C$11:$G$11-C25)</f>
        <v>72000000</v>
      </c>
      <c r="D29" s="34" t="n">
        <f aca="false">MAX(0,Debt_Schedule!$C$11:$G$11-D25)</f>
        <v>68000000</v>
      </c>
      <c r="E29" s="34" t="n">
        <f aca="false">MAX(0,Debt_Schedule!$C$11:$G$11-E25)</f>
        <v>64000000</v>
      </c>
      <c r="F29" s="34" t="n">
        <f aca="false">MAX(0,Debt_Schedule!$C$11:$G$11-F25)</f>
        <v>60000000</v>
      </c>
      <c r="G29" s="34" t="n">
        <f aca="false">MAX(0,Debt_Schedule!$C$11:$G$11-G25)</f>
        <v>56000000</v>
      </c>
    </row>
    <row r="30" customFormat="false" ht="15" hidden="false" customHeight="false" outlineLevel="0" collapsed="false">
      <c r="A30" s="6"/>
      <c r="B30" s="7" t="s">
        <v>267</v>
      </c>
      <c r="C30" s="35" t="n">
        <f aca="false">C29</f>
        <v>72000000</v>
      </c>
      <c r="D30" s="35" t="n">
        <f aca="false">D29</f>
        <v>68000000</v>
      </c>
      <c r="E30" s="35" t="n">
        <f aca="false">E29</f>
        <v>64000000</v>
      </c>
      <c r="F30" s="35" t="n">
        <f aca="false">F29</f>
        <v>60000000</v>
      </c>
      <c r="G30" s="35" t="n">
        <f aca="false">G29</f>
        <v>56000000</v>
      </c>
    </row>
    <row r="31" customFormat="false" ht="15" hidden="false" customHeight="false" outlineLevel="0" collapsed="false">
      <c r="A31" s="6"/>
      <c r="B31" s="6"/>
      <c r="C31" s="6"/>
      <c r="D31" s="6"/>
      <c r="E31" s="6"/>
      <c r="F31" s="6"/>
      <c r="G31" s="6"/>
    </row>
    <row r="32" customFormat="false" ht="15" hidden="false" customHeight="false" outlineLevel="0" collapsed="false">
      <c r="A32" s="6"/>
      <c r="B32" s="7" t="s">
        <v>268</v>
      </c>
      <c r="C32" s="36" t="n">
        <f aca="false">C26+C30</f>
        <v>164997000.252055</v>
      </c>
      <c r="D32" s="36" t="n">
        <f aca="false">D26+D30</f>
        <v>144362821.404712</v>
      </c>
      <c r="E32" s="36" t="n">
        <f aca="false">E26+E30</f>
        <v>129902207.708805</v>
      </c>
      <c r="F32" s="36" t="n">
        <f aca="false">F26+F30</f>
        <v>119515501.607944</v>
      </c>
      <c r="G32" s="36" t="n">
        <f aca="false">G26+G30</f>
        <v>111830286.468565</v>
      </c>
    </row>
    <row r="33" customFormat="false" ht="15" hidden="false" customHeight="false" outlineLevel="0" collapsed="false">
      <c r="A33" s="6"/>
      <c r="B33" s="6"/>
      <c r="C33" s="6"/>
      <c r="D33" s="6"/>
      <c r="E33" s="6"/>
      <c r="F33" s="6"/>
      <c r="G33" s="6"/>
    </row>
    <row r="34" customFormat="false" ht="15" hidden="false" customHeight="false" outlineLevel="0" collapsed="false">
      <c r="A34" s="6"/>
      <c r="B34" s="9" t="s">
        <v>269</v>
      </c>
      <c r="C34" s="10"/>
      <c r="D34" s="10"/>
      <c r="E34" s="10"/>
      <c r="F34" s="10"/>
      <c r="G34" s="10"/>
    </row>
    <row r="35" customFormat="false" ht="15" hidden="false" customHeight="false" outlineLevel="0" collapsed="false">
      <c r="A35" s="6"/>
      <c r="B35" s="8" t="s">
        <v>270</v>
      </c>
      <c r="C35" s="34" t="n">
        <f aca="false">Open_Net_Assets+Income_Statement!C$40</f>
        <v>699965984.483333</v>
      </c>
      <c r="D35" s="34" t="n">
        <f aca="false">C35+D40</f>
        <v>699965984.483333</v>
      </c>
      <c r="E35" s="34" t="n">
        <f aca="false">D35+E40</f>
        <v>699965984.483333</v>
      </c>
      <c r="F35" s="34" t="n">
        <f aca="false">E35+F40</f>
        <v>699965984.483333</v>
      </c>
      <c r="G35" s="34" t="n">
        <f aca="false">F35+G40</f>
        <v>699965984.483333</v>
      </c>
    </row>
    <row r="36" customFormat="false" ht="15" hidden="false" customHeight="false" outlineLevel="0" collapsed="false">
      <c r="A36" s="6"/>
      <c r="B36" s="6"/>
      <c r="C36" s="6"/>
      <c r="D36" s="6"/>
      <c r="E36" s="6"/>
      <c r="F36" s="6"/>
      <c r="G36" s="6"/>
    </row>
    <row r="37" customFormat="false" ht="15" hidden="false" customHeight="false" outlineLevel="0" collapsed="false">
      <c r="A37" s="6"/>
      <c r="B37" s="7" t="s">
        <v>271</v>
      </c>
      <c r="C37" s="36" t="n">
        <f aca="false">C32+C35</f>
        <v>864962984.735388</v>
      </c>
      <c r="D37" s="36" t="n">
        <f aca="false">D32+D35</f>
        <v>844328805.888046</v>
      </c>
      <c r="E37" s="36" t="n">
        <f aca="false">E32+E35</f>
        <v>829868192.192138</v>
      </c>
      <c r="F37" s="36" t="n">
        <f aca="false">F32+F35</f>
        <v>819481486.091278</v>
      </c>
      <c r="G37" s="36" t="n">
        <f aca="false">G32+G35</f>
        <v>811796270.951899</v>
      </c>
    </row>
    <row r="38" customFormat="false" ht="15" hidden="false" customHeight="false" outlineLevel="0" collapsed="false">
      <c r="A38" s="6"/>
      <c r="B38" s="6"/>
      <c r="C38" s="6"/>
      <c r="D38" s="6"/>
      <c r="E38" s="6"/>
      <c r="F38" s="6"/>
      <c r="G38" s="6"/>
    </row>
    <row r="39" customFormat="false" ht="15" hidden="false" customHeight="false" outlineLevel="0" collapsed="false">
      <c r="A39" s="6"/>
      <c r="B39" s="8" t="s">
        <v>272</v>
      </c>
      <c r="C39" s="38" t="n">
        <f aca="false">C19-C37</f>
        <v>-14828679.4985206</v>
      </c>
      <c r="D39" s="38" t="n">
        <f aca="false">D19-D37</f>
        <v>152548628.918488</v>
      </c>
      <c r="E39" s="38" t="n">
        <f aca="false">E19-E37</f>
        <v>285065155.472201</v>
      </c>
      <c r="F39" s="38" t="n">
        <f aca="false">F19-F37</f>
        <v>395726739.724528</v>
      </c>
      <c r="G39" s="38" t="n">
        <f aca="false">G19-G37</f>
        <v>493187965.944863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273</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7"/>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25" t="s">
        <v>178</v>
      </c>
      <c r="C6" s="29" t="n">
        <f aca="false">COLUMN()-2</f>
        <v>1</v>
      </c>
      <c r="D6" s="29" t="n">
        <f aca="false">COLUMN()-2</f>
        <v>2</v>
      </c>
      <c r="E6" s="29" t="n">
        <f aca="false">COLUMN()-2</f>
        <v>3</v>
      </c>
      <c r="F6" s="29" t="n">
        <f aca="false">COLUMN()-2</f>
        <v>4</v>
      </c>
      <c r="G6" s="29" t="n">
        <f aca="false">COLUMN()-2</f>
        <v>5</v>
      </c>
    </row>
    <row r="7" customFormat="false" ht="15" hidden="false" customHeight="false" outlineLevel="0" collapsed="false">
      <c r="A7" s="6"/>
      <c r="B7" s="9" t="s">
        <v>274</v>
      </c>
      <c r="C7" s="10"/>
      <c r="D7" s="10"/>
      <c r="E7" s="10"/>
      <c r="F7" s="10"/>
      <c r="G7" s="10"/>
    </row>
    <row r="8" customFormat="false" ht="15" hidden="false" customHeight="false" outlineLevel="0" collapsed="false">
      <c r="A8" s="6"/>
      <c r="B8" s="8" t="s">
        <v>275</v>
      </c>
      <c r="C8" s="34" t="n">
        <f aca="false">Income_Statement!C$40</f>
        <v>205722148.483333</v>
      </c>
      <c r="D8" s="34" t="n">
        <f aca="false">Income_Statement!D$40</f>
        <v>154206612.432333</v>
      </c>
      <c r="E8" s="34" t="n">
        <f aca="false">Income_Statement!E$40</f>
        <v>121530629.973231</v>
      </c>
      <c r="F8" s="34" t="n">
        <f aca="false">Income_Statement!F$40</f>
        <v>101018444.305725</v>
      </c>
      <c r="G8" s="34" t="n">
        <f aca="false">Income_Statement!G$40</f>
        <v>88594801.5830959</v>
      </c>
    </row>
    <row r="9" customFormat="false" ht="15" hidden="false" customHeight="false" outlineLevel="0" collapsed="false">
      <c r="A9" s="6"/>
      <c r="B9" s="31" t="s">
        <v>276</v>
      </c>
      <c r="C9" s="34" t="n">
        <f aca="false">Income_Statement!C$32</f>
        <v>18640266.7166667</v>
      </c>
      <c r="D9" s="34" t="n">
        <f aca="false">Income_Statement!D$32</f>
        <v>20626812.7996667</v>
      </c>
      <c r="E9" s="34" t="n">
        <f aca="false">Income_Statement!E$32</f>
        <v>21963980.1590492</v>
      </c>
      <c r="F9" s="34" t="n">
        <f aca="false">Income_Statement!F$32</f>
        <v>22959411.6980801</v>
      </c>
      <c r="G9" s="34" t="n">
        <f aca="false">Income_Statement!G$32</f>
        <v>23901561.9658149</v>
      </c>
    </row>
    <row r="10" customFormat="false" ht="15" hidden="false" customHeight="false" outlineLevel="0" collapsed="false">
      <c r="A10" s="6"/>
      <c r="B10" s="9" t="s">
        <v>277</v>
      </c>
      <c r="C10" s="10"/>
      <c r="D10" s="10"/>
      <c r="E10" s="10"/>
      <c r="F10" s="10"/>
      <c r="G10" s="10"/>
    </row>
    <row r="11" customFormat="false" ht="15" hidden="false" customHeight="false" outlineLevel="0" collapsed="false">
      <c r="A11" s="6"/>
      <c r="B11" s="31" t="s">
        <v>278</v>
      </c>
      <c r="C11" s="34" t="n">
        <f aca="false">0</f>
        <v>0</v>
      </c>
      <c r="D11" s="34" t="n">
        <f aca="false">-(D10-C10)</f>
        <v>-0</v>
      </c>
      <c r="E11" s="34" t="n">
        <f aca="false">-(E10-D10)</f>
        <v>-0</v>
      </c>
      <c r="F11" s="34" t="n">
        <f aca="false">-(F10-E10)</f>
        <v>-0</v>
      </c>
      <c r="G11" s="34" t="n">
        <f aca="false">-(G10-F10)</f>
        <v>-0</v>
      </c>
    </row>
    <row r="12" customFormat="false" ht="15" hidden="false" customHeight="false" outlineLevel="0" collapsed="false">
      <c r="A12" s="6"/>
      <c r="B12" s="31" t="s">
        <v>279</v>
      </c>
      <c r="C12" s="34" t="n">
        <f aca="false">0</f>
        <v>0</v>
      </c>
      <c r="D12" s="34" t="n">
        <f aca="false">-(D11-C11)</f>
        <v>0</v>
      </c>
      <c r="E12" s="34" t="n">
        <f aca="false">-(E11-D11)</f>
        <v>-0</v>
      </c>
      <c r="F12" s="34" t="n">
        <f aca="false">-(F11-E11)</f>
        <v>-0</v>
      </c>
      <c r="G12" s="34" t="n">
        <f aca="false">-(G11-F11)</f>
        <v>-0</v>
      </c>
    </row>
    <row r="13" customFormat="false" ht="15" hidden="false" customHeight="false" outlineLevel="0" collapsed="false">
      <c r="A13" s="6"/>
      <c r="B13" s="31" t="s">
        <v>280</v>
      </c>
      <c r="C13" s="34" t="n">
        <f aca="false">0</f>
        <v>0</v>
      </c>
      <c r="D13" s="34" t="n">
        <f aca="false">D23-C23</f>
        <v>0</v>
      </c>
      <c r="E13" s="34" t="n">
        <f aca="false">E23-D23</f>
        <v>0</v>
      </c>
      <c r="F13" s="34" t="n">
        <f aca="false">F23-E23</f>
        <v>0</v>
      </c>
      <c r="G13" s="34" t="n">
        <f aca="false">G23-F23</f>
        <v>0</v>
      </c>
    </row>
    <row r="14" customFormat="false" ht="15" hidden="false" customHeight="false" outlineLevel="0" collapsed="false">
      <c r="A14" s="6"/>
      <c r="B14" s="31" t="s">
        <v>281</v>
      </c>
      <c r="C14" s="34" t="n">
        <f aca="false">0</f>
        <v>0</v>
      </c>
      <c r="D14" s="34" t="n">
        <f aca="false">D24-C24</f>
        <v>0</v>
      </c>
      <c r="E14" s="34" t="n">
        <f aca="false">E24-D24</f>
        <v>0</v>
      </c>
      <c r="F14" s="34" t="n">
        <f aca="false">F24-E24</f>
        <v>0</v>
      </c>
      <c r="G14" s="34" t="n">
        <f aca="false">G24-F24</f>
        <v>0</v>
      </c>
    </row>
    <row r="15" customFormat="false" ht="15" hidden="false" customHeight="false" outlineLevel="0" collapsed="false">
      <c r="A15" s="6"/>
      <c r="B15" s="6"/>
      <c r="C15" s="6"/>
      <c r="D15" s="6"/>
      <c r="E15" s="6"/>
      <c r="F15" s="6"/>
      <c r="G15" s="6"/>
    </row>
    <row r="16" customFormat="false" ht="15" hidden="false" customHeight="false" outlineLevel="0" collapsed="false">
      <c r="A16" s="6"/>
      <c r="B16" s="7" t="s">
        <v>282</v>
      </c>
      <c r="C16" s="36" t="n">
        <f aca="false">C8+C9+C11+C12+C13+C14</f>
        <v>224362415.2</v>
      </c>
      <c r="D16" s="36" t="n">
        <f aca="false">D8+D9+D11+D12+D13+D14</f>
        <v>174833425.232</v>
      </c>
      <c r="E16" s="36" t="n">
        <f aca="false">E8+E9+E11+E12+E13+E14</f>
        <v>143494610.13228</v>
      </c>
      <c r="F16" s="36" t="n">
        <f aca="false">F8+F9+F11+F12+F13+F14</f>
        <v>123977856.003805</v>
      </c>
      <c r="G16" s="36" t="n">
        <f aca="false">G8+G9+G11+G12+G13+G14</f>
        <v>112496363.548911</v>
      </c>
    </row>
    <row r="17" customFormat="false" ht="15" hidden="false" customHeight="false" outlineLevel="0" collapsed="false">
      <c r="A17" s="6"/>
      <c r="B17" s="6"/>
      <c r="C17" s="6"/>
      <c r="D17" s="6"/>
      <c r="E17" s="6"/>
      <c r="F17" s="6"/>
      <c r="G17" s="6"/>
    </row>
    <row r="18" customFormat="false" ht="15" hidden="false" customHeight="false" outlineLevel="0" collapsed="false">
      <c r="A18" s="6"/>
      <c r="B18" s="9" t="s">
        <v>283</v>
      </c>
      <c r="C18" s="10"/>
      <c r="D18" s="10"/>
      <c r="E18" s="10"/>
      <c r="F18" s="10"/>
      <c r="G18" s="10"/>
    </row>
    <row r="19" customFormat="false" ht="15" hidden="false" customHeight="false" outlineLevel="0" collapsed="false">
      <c r="A19" s="6"/>
      <c r="B19" s="31" t="s">
        <v>284</v>
      </c>
      <c r="C19" s="34" t="n">
        <f aca="false">-Capex_Depreciation!C$11</f>
        <v>-39472001</v>
      </c>
      <c r="D19" s="34" t="n">
        <f aca="false">-Capex_Depreciation!D$11</f>
        <v>-39730921.66</v>
      </c>
      <c r="E19" s="34" t="n">
        <f aca="false">-Capex_Depreciation!E$11</f>
        <v>-26743347.18765</v>
      </c>
      <c r="F19" s="34" t="n">
        <f aca="false">-Capex_Depreciation!F$11</f>
        <v>-19908630.7806188</v>
      </c>
      <c r="G19" s="34" t="n">
        <f aca="false">-Capex_Depreciation!G$11</f>
        <v>-18843005.3546957</v>
      </c>
    </row>
    <row r="20" customFormat="false" ht="15" hidden="false" customHeight="false" outlineLevel="0" collapsed="false">
      <c r="A20" s="6"/>
      <c r="B20" s="31" t="s">
        <v>285</v>
      </c>
      <c r="C20" s="34" t="n">
        <f aca="false">-Endowment!C$9</f>
        <v>-5000000</v>
      </c>
      <c r="D20" s="34" t="n">
        <f aca="false">-Endowment!D$9</f>
        <v>-5000000</v>
      </c>
      <c r="E20" s="34" t="n">
        <f aca="false">-Endowment!E$9</f>
        <v>-5000000</v>
      </c>
      <c r="F20" s="34" t="n">
        <f aca="false">-Endowment!F$9</f>
        <v>-5000000</v>
      </c>
      <c r="G20" s="34" t="n">
        <f aca="false">-Endowment!G$9</f>
        <v>-5000000</v>
      </c>
    </row>
    <row r="21" customFormat="false" ht="15" hidden="false" customHeight="false" outlineLevel="0" collapsed="false">
      <c r="A21" s="6"/>
      <c r="B21" s="7" t="s">
        <v>286</v>
      </c>
      <c r="C21" s="36" t="n">
        <f aca="false">C19+C20</f>
        <v>-44472001</v>
      </c>
      <c r="D21" s="36" t="n">
        <f aca="false">D19+D20</f>
        <v>-44730921.66</v>
      </c>
      <c r="E21" s="36" t="n">
        <f aca="false">E19+E20</f>
        <v>-31743347.18765</v>
      </c>
      <c r="F21" s="36" t="n">
        <f aca="false">F19+F20</f>
        <v>-24908630.7806188</v>
      </c>
      <c r="G21" s="36" t="n">
        <f aca="false">G19+G20</f>
        <v>-23843005.3546957</v>
      </c>
    </row>
    <row r="22" customFormat="false" ht="15" hidden="false" customHeight="false" outlineLevel="0" collapsed="false">
      <c r="A22" s="6"/>
      <c r="B22" s="6"/>
      <c r="C22" s="6"/>
      <c r="D22" s="6"/>
      <c r="E22" s="6"/>
      <c r="F22" s="6"/>
      <c r="G22" s="6"/>
    </row>
    <row r="23" customFormat="false" ht="15" hidden="false" customHeight="false" outlineLevel="0" collapsed="false">
      <c r="A23" s="6"/>
      <c r="B23" s="9" t="s">
        <v>287</v>
      </c>
      <c r="C23" s="10"/>
      <c r="D23" s="10"/>
      <c r="E23" s="10"/>
      <c r="F23" s="10"/>
      <c r="G23" s="10"/>
    </row>
    <row r="24" customFormat="false" ht="15" hidden="false" customHeight="false" outlineLevel="0" collapsed="false">
      <c r="A24" s="6"/>
      <c r="B24" s="31" t="s">
        <v>288</v>
      </c>
      <c r="C24" s="34" t="n">
        <f aca="false">Debt_Schedule!C$9</f>
        <v>0</v>
      </c>
      <c r="D24" s="34" t="n">
        <f aca="false">Debt_Schedule!D$9</f>
        <v>0</v>
      </c>
      <c r="E24" s="34" t="n">
        <f aca="false">Debt_Schedule!E$9</f>
        <v>0</v>
      </c>
      <c r="F24" s="34" t="n">
        <f aca="false">Debt_Schedule!F$9</f>
        <v>0</v>
      </c>
      <c r="G24" s="34" t="n">
        <f aca="false">Debt_Schedule!G$9</f>
        <v>0</v>
      </c>
    </row>
    <row r="25" customFormat="false" ht="15" hidden="false" customHeight="false" outlineLevel="0" collapsed="false">
      <c r="A25" s="6"/>
      <c r="B25" s="31" t="s">
        <v>289</v>
      </c>
      <c r="C25" s="34" t="n">
        <f aca="false">-Debt_Schedule!C$10</f>
        <v>-4000000</v>
      </c>
      <c r="D25" s="34" t="n">
        <f aca="false">-Debt_Schedule!D$10</f>
        <v>-4000000</v>
      </c>
      <c r="E25" s="34" t="n">
        <f aca="false">-Debt_Schedule!E$10</f>
        <v>-4000000</v>
      </c>
      <c r="F25" s="34" t="n">
        <f aca="false">-Debt_Schedule!F$10</f>
        <v>-4000000</v>
      </c>
      <c r="G25" s="34" t="n">
        <f aca="false">-Debt_Schedule!G$10</f>
        <v>-4000000</v>
      </c>
    </row>
    <row r="26" customFormat="false" ht="15" hidden="false" customHeight="false" outlineLevel="0" collapsed="false">
      <c r="A26" s="6"/>
      <c r="B26" s="7" t="s">
        <v>290</v>
      </c>
      <c r="C26" s="36" t="n">
        <f aca="false">C24+C25</f>
        <v>-4000000</v>
      </c>
      <c r="D26" s="36" t="n">
        <f aca="false">D24+D25</f>
        <v>-4000000</v>
      </c>
      <c r="E26" s="36" t="n">
        <f aca="false">E24+E25</f>
        <v>-4000000</v>
      </c>
      <c r="F26" s="36" t="n">
        <f aca="false">F24+F25</f>
        <v>-4000000</v>
      </c>
      <c r="G26" s="36" t="n">
        <f aca="false">G24+G25</f>
        <v>-4000000</v>
      </c>
    </row>
    <row r="27" customFormat="false" ht="15" hidden="false" customHeight="false" outlineLevel="0" collapsed="false">
      <c r="A27" s="6"/>
      <c r="B27" s="6"/>
      <c r="C27" s="6"/>
      <c r="D27" s="6"/>
      <c r="E27" s="6"/>
      <c r="F27" s="6"/>
      <c r="G27" s="6"/>
    </row>
    <row r="28" customFormat="false" ht="15" hidden="false" customHeight="false" outlineLevel="0" collapsed="false">
      <c r="A28" s="6"/>
      <c r="B28" s="7" t="s">
        <v>291</v>
      </c>
      <c r="C28" s="35" t="n">
        <f aca="false">C16+C21+C26</f>
        <v>175890414.2</v>
      </c>
      <c r="D28" s="35" t="n">
        <f aca="false">D16+D21+D26</f>
        <v>126102503.572</v>
      </c>
      <c r="E28" s="35" t="n">
        <f aca="false">E16+E21+E26</f>
        <v>107751262.94463</v>
      </c>
      <c r="F28" s="35" t="n">
        <f aca="false">F16+F21+F26</f>
        <v>95069225.2231862</v>
      </c>
      <c r="G28" s="35" t="n">
        <f aca="false">G16+G21+G26</f>
        <v>84653358.1942151</v>
      </c>
    </row>
    <row r="29" customFormat="false" ht="15" hidden="false" customHeight="false" outlineLevel="0" collapsed="false">
      <c r="A29" s="6"/>
      <c r="B29" s="6"/>
      <c r="C29" s="6"/>
      <c r="D29" s="6"/>
      <c r="E29" s="6"/>
      <c r="F29" s="6"/>
      <c r="G29" s="6"/>
    </row>
    <row r="30" customFormat="false" ht="15" hidden="false" customHeight="false" outlineLevel="0" collapsed="false">
      <c r="A30" s="6"/>
      <c r="B30" s="8" t="s">
        <v>172</v>
      </c>
      <c r="C30" s="34" t="n">
        <f aca="false">Open_Cash</f>
        <v>40000000</v>
      </c>
      <c r="D30" s="34" t="n">
        <f aca="false">C31</f>
        <v>215890414.2</v>
      </c>
      <c r="E30" s="34" t="n">
        <f aca="false">D31</f>
        <v>341992917.772</v>
      </c>
      <c r="F30" s="34" t="n">
        <f aca="false">E31</f>
        <v>449744180.71663</v>
      </c>
      <c r="G30" s="34" t="n">
        <f aca="false">F31</f>
        <v>544813405.939816</v>
      </c>
    </row>
    <row r="31" customFormat="false" ht="15" hidden="false" customHeight="false" outlineLevel="0" collapsed="false">
      <c r="A31" s="6"/>
      <c r="B31" s="7" t="s">
        <v>292</v>
      </c>
      <c r="C31" s="35" t="n">
        <f aca="false">C30+C28</f>
        <v>215890414.2</v>
      </c>
      <c r="D31" s="35" t="n">
        <f aca="false">D30+D28</f>
        <v>341992917.772</v>
      </c>
      <c r="E31" s="35" t="n">
        <f aca="false">E30+E28</f>
        <v>449744180.71663</v>
      </c>
      <c r="F31" s="35" t="n">
        <f aca="false">F30+F28</f>
        <v>544813405.939816</v>
      </c>
      <c r="G31" s="35" t="n">
        <f aca="false">G30+G28</f>
        <v>629466764.134031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false"/>
  </sheetPr>
  <dimension ref="A1:AD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293</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294</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7"/>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25" t="s">
        <v>178</v>
      </c>
      <c r="C6" s="29" t="n">
        <f aca="false">COLUMN()-2</f>
        <v>1</v>
      </c>
      <c r="D6" s="29" t="n">
        <f aca="false">COLUMN()-2</f>
        <v>2</v>
      </c>
      <c r="E6" s="29" t="n">
        <f aca="false">COLUMN()-2</f>
        <v>3</v>
      </c>
      <c r="F6" s="29" t="n">
        <f aca="false">COLUMN()-2</f>
        <v>4</v>
      </c>
      <c r="G6" s="29" t="n">
        <f aca="false">COLUMN()-2</f>
        <v>5</v>
      </c>
    </row>
    <row r="7" customFormat="false" ht="15" hidden="false" customHeight="false" outlineLevel="0" collapsed="false">
      <c r="A7" s="6"/>
      <c r="B7" s="9" t="s">
        <v>32</v>
      </c>
      <c r="C7" s="10"/>
      <c r="D7" s="10"/>
      <c r="E7" s="10"/>
      <c r="F7" s="10"/>
      <c r="G7" s="10"/>
    </row>
    <row r="8" customFormat="false" ht="15" hidden="false" customHeight="false" outlineLevel="0" collapsed="false">
      <c r="A8" s="6"/>
      <c r="B8" s="8" t="s">
        <v>295</v>
      </c>
      <c r="C8" s="39" t="str">
        <f aca="false">IF(ABS(Balance_Sheet!C$39)&lt;1,"PASS","FAIL")</f>
        <v>FAIL</v>
      </c>
      <c r="D8" s="39" t="str">
        <f aca="false">IF(ABS(Balance_Sheet!D$39)&lt;1,"PASS","FAIL")</f>
        <v>FAIL</v>
      </c>
      <c r="E8" s="39" t="str">
        <f aca="false">IF(ABS(Balance_Sheet!E$39)&lt;1,"PASS","FAIL")</f>
        <v>FAIL</v>
      </c>
      <c r="F8" s="39" t="str">
        <f aca="false">IF(ABS(Balance_Sheet!F$39)&lt;1,"PASS","FAIL")</f>
        <v>FAIL</v>
      </c>
      <c r="G8" s="39" t="str">
        <f aca="false">IF(ABS(Balance_Sheet!G$39)&lt;1,"PASS","FAIL")</f>
        <v>FAIL</v>
      </c>
    </row>
    <row r="9" customFormat="false" ht="15" hidden="false" customHeight="false" outlineLevel="0" collapsed="false">
      <c r="A9" s="6"/>
      <c r="B9" s="8" t="s">
        <v>296</v>
      </c>
      <c r="C9" s="39" t="str">
        <f aca="false">IF(IFERROR((Income_Statement!C$28-Capex_Depreciation!C$11*Maint_Capex_Pct)/(Debt_Schedule!C$13+Debt_Schedule!C$10),0)&gt;=1.2,"PASS","FAIL")</f>
        <v>PASS</v>
      </c>
      <c r="D9" s="39" t="str">
        <f aca="false">IF(IFERROR((Income_Statement!D$28-Capex_Depreciation!D$11*Maint_Capex_Pct)/(Debt_Schedule!D$13+Debt_Schedule!D$10),0)&gt;=1.2,"PASS","FAIL")</f>
        <v>PASS</v>
      </c>
      <c r="E9" s="39" t="str">
        <f aca="false">IF(IFERROR((Income_Statement!E$28-Capex_Depreciation!E$11*Maint_Capex_Pct)/(Debt_Schedule!E$13+Debt_Schedule!E$10),0)&gt;=1.2,"PASS","FAIL")</f>
        <v>PASS</v>
      </c>
      <c r="F9" s="39" t="str">
        <f aca="false">IF(IFERROR((Income_Statement!F$28-Capex_Depreciation!F$11*Maint_Capex_Pct)/(Debt_Schedule!F$13+Debt_Schedule!F$10),0)&gt;=1.2,"PASS","FAIL")</f>
        <v>PASS</v>
      </c>
      <c r="G9" s="39" t="str">
        <f aca="false">IF(IFERROR((Income_Statement!G$28-Capex_Depreciation!G$11*Maint_Capex_Pct)/(Debt_Schedule!G$13+Debt_Schedule!G$10),0)&gt;=1.2,"PASS","FAIL")</f>
        <v>PASS</v>
      </c>
    </row>
    <row r="10" customFormat="false" ht="15" hidden="false" customHeight="false" outlineLevel="0" collapsed="false">
      <c r="A10" s="6"/>
      <c r="B10" s="8" t="s">
        <v>297</v>
      </c>
      <c r="C10" s="39" t="str">
        <f aca="false">IF(AND(IFERROR(Income_Statement!C$33/Income_Statement!C$14,0)&gt;=0.03,IFERROR(Income_Statement!C$33/Income_Statement!C$14,0)&lt;=0.15),"PASS","WARN")</f>
        <v>WARN</v>
      </c>
      <c r="D10" s="39" t="str">
        <f aca="false">IF(AND(IFERROR(Income_Statement!D$33/Income_Statement!D$14,0)&gt;=0.03,IFERROR(Income_Statement!D$33/Income_Statement!D$14,0)&lt;=0.15),"PASS","WARN")</f>
        <v>WARN</v>
      </c>
      <c r="E10" s="39" t="str">
        <f aca="false">IF(AND(IFERROR(Income_Statement!E$33/Income_Statement!E$14,0)&gt;=0.03,IFERROR(Income_Statement!E$33/Income_Statement!E$14,0)&lt;=0.15),"PASS","WARN")</f>
        <v>WARN</v>
      </c>
      <c r="F10" s="39" t="str">
        <f aca="false">IF(AND(IFERROR(Income_Statement!F$33/Income_Statement!F$14,0)&gt;=0.03,IFERROR(Income_Statement!F$33/Income_Statement!F$14,0)&lt;=0.15),"PASS","WARN")</f>
        <v>WARN</v>
      </c>
      <c r="G10" s="39" t="str">
        <f aca="false">IF(AND(IFERROR(Income_Statement!G$33/Income_Statement!G$14,0)&gt;=0.03,IFERROR(Income_Statement!G$33/Income_Statement!G$14,0)&lt;=0.15),"PASS","WARN")</f>
        <v>WARN</v>
      </c>
    </row>
    <row r="11" customFormat="false" ht="15" hidden="false" customHeight="false" outlineLevel="0" collapsed="false">
      <c r="A11" s="6"/>
      <c r="B11" s="8" t="s">
        <v>298</v>
      </c>
      <c r="C11" s="39" t="str">
        <f aca="false">IF(AND(IFERROR(Income_Statement!C$14/Enrolment!C$19,0)&gt;=25000,IFERROR(Income_Statement!C$14/Enrolment!C$19,0)&lt;=80000),"PASS","WARN")</f>
        <v>PASS</v>
      </c>
      <c r="D11" s="39" t="str">
        <f aca="false">IF(AND(IFERROR(Income_Statement!D$14/Enrolment!D$19,0)&gt;=25000,IFERROR(Income_Statement!D$14/Enrolment!D$19,0)&lt;=80000),"PASS","WARN")</f>
        <v>PASS</v>
      </c>
      <c r="E11" s="39" t="str">
        <f aca="false">IF(AND(IFERROR(Income_Statement!E$14/Enrolment!E$19,0)&gt;=25000,IFERROR(Income_Statement!E$14/Enrolment!E$19,0)&lt;=80000),"PASS","WARN")</f>
        <v>PASS</v>
      </c>
      <c r="F11" s="39" t="str">
        <f aca="false">IF(AND(IFERROR(Income_Statement!F$14/Enrolment!F$19,0)&gt;=25000,IFERROR(Income_Statement!F$14/Enrolment!F$19,0)&lt;=80000),"PASS","WARN")</f>
        <v>PASS</v>
      </c>
      <c r="G11" s="39" t="str">
        <f aca="false">IF(AND(IFERROR(Income_Statement!G$14/Enrolment!G$19,0)&gt;=25000,IFERROR(Income_Statement!G$14/Enrolment!G$19,0)&lt;=80000),"PASS","WARN")</f>
        <v>PASS</v>
      </c>
    </row>
    <row r="12" customFormat="false" ht="15" hidden="false" customHeight="false" outlineLevel="0" collapsed="false">
      <c r="A12" s="6"/>
      <c r="B12" s="8" t="s">
        <v>299</v>
      </c>
      <c r="C12" s="39" t="str">
        <f aca="false">IF(AND(IFERROR(Operating_Costs!C$11/Income_Statement!C$14,0)&gt;=0.3,IFERROR(Operating_Costs!C$11/Income_Statement!C$14,0)&lt;=0.45),"PASS","WARN")</f>
        <v>WARN</v>
      </c>
      <c r="D12" s="39" t="str">
        <f aca="false">IF(AND(IFERROR(Operating_Costs!D$11/Income_Statement!D$14,0)&gt;=0.3,IFERROR(Operating_Costs!D$11/Income_Statement!D$14,0)&lt;=0.45),"PASS","WARN")</f>
        <v>WARN</v>
      </c>
      <c r="E12" s="39" t="str">
        <f aca="false">IF(AND(IFERROR(Operating_Costs!E$11/Income_Statement!E$14,0)&gt;=0.3,IFERROR(Operating_Costs!E$11/Income_Statement!E$14,0)&lt;=0.45),"PASS","WARN")</f>
        <v>WARN</v>
      </c>
      <c r="F12" s="39" t="str">
        <f aca="false">IF(AND(IFERROR(Operating_Costs!F$11/Income_Statement!F$14,0)&gt;=0.3,IFERROR(Operating_Costs!F$11/Income_Statement!F$14,0)&lt;=0.45),"PASS","WARN")</f>
        <v>WARN</v>
      </c>
      <c r="G12" s="39" t="str">
        <f aca="false">IF(AND(IFERROR(Operating_Costs!G$11/Income_Statement!G$14,0)&gt;=0.3,IFERROR(Operating_Costs!G$11/Income_Statement!G$14,0)&lt;=0.45),"PASS","WARN")</f>
        <v>WARN</v>
      </c>
    </row>
    <row r="13" customFormat="false" ht="15" hidden="false" customHeight="false" outlineLevel="0" collapsed="false">
      <c r="A13" s="6"/>
      <c r="B13" s="8" t="s">
        <v>300</v>
      </c>
      <c r="C13" s="39" t="str">
        <f aca="false">IF(AND(Stu_Faculty_Ratio&gt;=10,Stu_Faculty_Ratio&lt;=20),"PASS","WARN")</f>
        <v>PASS</v>
      </c>
      <c r="D13" s="39" t="str">
        <f aca="false">IF(AND(Stu_Faculty_Ratio&gt;=10,Stu_Faculty_Ratio&lt;=20),"PASS","WARN")</f>
        <v>PASS</v>
      </c>
      <c r="E13" s="39" t="str">
        <f aca="false">IF(AND(Stu_Faculty_Ratio&gt;=10,Stu_Faculty_Ratio&lt;=20),"PASS","WARN")</f>
        <v>PASS</v>
      </c>
      <c r="F13" s="39" t="str">
        <f aca="false">IF(AND(Stu_Faculty_Ratio&gt;=10,Stu_Faculty_Ratio&lt;=20),"PASS","WARN")</f>
        <v>PASS</v>
      </c>
      <c r="G13" s="39" t="str">
        <f aca="false">IF(AND(Stu_Faculty_Ratio&gt;=10,Stu_Faculty_Ratio&lt;=20),"PASS","WARN")</f>
        <v>PASS</v>
      </c>
    </row>
    <row r="14" customFormat="false" ht="15" hidden="false" customHeight="false" outlineLevel="0" collapsed="false">
      <c r="A14" s="6"/>
      <c r="B14" s="8" t="s">
        <v>301</v>
      </c>
      <c r="C14" s="39" t="str">
        <f aca="false">IF(AND(Endow_Spend_Rate&gt;=0.03,Endow_Spend_Rate&lt;=0.06),"PASS","WARN")</f>
        <v>PASS</v>
      </c>
      <c r="D14" s="39" t="str">
        <f aca="false">IF(AND(Endow_Spend_Rate&gt;=0.03,Endow_Spend_Rate&lt;=0.06),"PASS","WARN")</f>
        <v>PASS</v>
      </c>
      <c r="E14" s="39" t="str">
        <f aca="false">IF(AND(Endow_Spend_Rate&gt;=0.03,Endow_Spend_Rate&lt;=0.06),"PASS","WARN")</f>
        <v>PASS</v>
      </c>
      <c r="F14" s="39" t="str">
        <f aca="false">IF(AND(Endow_Spend_Rate&gt;=0.03,Endow_Spend_Rate&lt;=0.06),"PASS","WARN")</f>
        <v>PASS</v>
      </c>
      <c r="G14" s="39" t="str">
        <f aca="false">IF(AND(Endow_Spend_Rate&gt;=0.03,Endow_Spend_Rate&lt;=0.06),"PASS","WARN")</f>
        <v>PASS</v>
      </c>
    </row>
    <row r="15" customFormat="false" ht="15" hidden="false" customHeight="false" outlineLevel="0" collapsed="false">
      <c r="A15" s="6"/>
      <c r="B15" s="8" t="s">
        <v>302</v>
      </c>
      <c r="C15" s="39" t="str">
        <f aca="false">IF(Cash_Flow!C$31&gt;=0,"PASS","FAIL")</f>
        <v>PASS</v>
      </c>
      <c r="D15" s="39" t="str">
        <f aca="false">IF(Cash_Flow!D$31&gt;=0,"PASS","FAIL")</f>
        <v>PASS</v>
      </c>
      <c r="E15" s="39" t="str">
        <f aca="false">IF(Cash_Flow!E$31&gt;=0,"PASS","FAIL")</f>
        <v>PASS</v>
      </c>
      <c r="F15" s="39" t="str">
        <f aca="false">IF(Cash_Flow!F$31&gt;=0,"PASS","FAIL")</f>
        <v>PASS</v>
      </c>
      <c r="G15" s="39" t="str">
        <f aca="false">IF(Cash_Flow!G$31&gt;=0,"PASS","FAIL")</f>
        <v>PASS</v>
      </c>
    </row>
    <row r="16" customFormat="false" ht="15" hidden="false" customHeight="false" outlineLevel="0" collapsed="false">
      <c r="A16" s="6"/>
      <c r="B16" s="8" t="s">
        <v>303</v>
      </c>
      <c r="C16" s="39" t="str">
        <f aca="false">IF(AND(UG_Discount_Rate&gt;=0.35,UG_Discount_Rate&lt;=0.6),"PASS","WARN")</f>
        <v>PASS</v>
      </c>
      <c r="D16" s="39" t="str">
        <f aca="false">IF(AND(UG_Discount_Rate&gt;=0.35,UG_Discount_Rate&lt;=0.6),"PASS","WARN")</f>
        <v>PASS</v>
      </c>
      <c r="E16" s="39" t="str">
        <f aca="false">IF(AND(UG_Discount_Rate&gt;=0.35,UG_Discount_Rate&lt;=0.6),"PASS","WARN")</f>
        <v>PASS</v>
      </c>
      <c r="F16" s="39" t="str">
        <f aca="false">IF(AND(UG_Discount_Rate&gt;=0.35,UG_Discount_Rate&lt;=0.6),"PASS","WARN")</f>
        <v>PASS</v>
      </c>
      <c r="G16" s="39" t="str">
        <f aca="false">IF(AND(UG_Discount_Rate&gt;=0.35,UG_Discount_Rate&lt;=0.6),"PASS","WARN")</f>
        <v>PASS</v>
      </c>
    </row>
    <row r="17" customFormat="false" ht="15" hidden="false" customHeight="false" outlineLevel="0" collapsed="false">
      <c r="A17" s="6"/>
      <c r="B17" s="8" t="s">
        <v>304</v>
      </c>
      <c r="C17" s="39" t="str">
        <f aca="false">IF(ABS(Cash_Flow!C$31-Cash_Flow!C$30-Cash_Flow!C$16-Cash_Flow!C$21-Cash_Flow!C$26)&lt;1,"PASS","FAIL")</f>
        <v>PASS</v>
      </c>
      <c r="D17" s="39" t="str">
        <f aca="false">IF(ABS(Cash_Flow!D$31-Cash_Flow!D$30-Cash_Flow!D$16-Cash_Flow!D$21-Cash_Flow!D$26)&lt;1,"PASS","FAIL")</f>
        <v>PASS</v>
      </c>
      <c r="E17" s="39" t="str">
        <f aca="false">IF(ABS(Cash_Flow!E$31-Cash_Flow!E$30-Cash_Flow!E$16-Cash_Flow!E$21-Cash_Flow!E$26)&lt;1,"PASS","FAIL")</f>
        <v>PASS</v>
      </c>
      <c r="F17" s="39" t="str">
        <f aca="false">IF(ABS(Cash_Flow!F$31-Cash_Flow!F$30-Cash_Flow!F$16-Cash_Flow!F$21-Cash_Flow!F$26)&lt;1,"PASS","FAIL")</f>
        <v>PASS</v>
      </c>
      <c r="G17" s="39" t="str">
        <f aca="false">IF(ABS(Cash_Flow!G$31-Cash_Flow!G$30-Cash_Flow!G$16-Cash_Flow!G$21-Cash_Flow!G$26)&lt;1,"PASS","FAIL")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0" t="s">
        <v>305</v>
      </c>
    </row>
    <row r="3" customFormat="false" ht="3.75" hidden="false" customHeight="true" outlineLevel="0" collapsed="false">
      <c r="B3" s="41"/>
    </row>
    <row r="5" customFormat="false" ht="19.5" hidden="false" customHeight="true" outlineLevel="0" collapsed="false">
      <c r="B5" s="42" t="s">
        <v>306</v>
      </c>
    </row>
    <row r="6" customFormat="false" ht="48" hidden="false" customHeight="true" outlineLevel="0" collapsed="false">
      <c r="B6" s="43" t="s">
        <v>307</v>
      </c>
    </row>
    <row r="8" customFormat="false" ht="19.5" hidden="false" customHeight="true" outlineLevel="0" collapsed="false">
      <c r="B8" s="42" t="s">
        <v>308</v>
      </c>
    </row>
    <row r="9" customFormat="false" ht="61.5" hidden="false" customHeight="true" outlineLevel="0" collapsed="false">
      <c r="B9" s="43" t="s">
        <v>309</v>
      </c>
    </row>
    <row r="11" customFormat="false" ht="19.5" hidden="false" customHeight="true" outlineLevel="0" collapsed="false">
      <c r="B11" s="42" t="s">
        <v>310</v>
      </c>
    </row>
    <row r="12" customFormat="false" ht="75.75" hidden="false" customHeight="true" outlineLevel="0" collapsed="false">
      <c r="B12" s="43" t="s">
        <v>311</v>
      </c>
    </row>
    <row r="14" customFormat="false" ht="19.5" hidden="false" customHeight="true" outlineLevel="0" collapsed="false">
      <c r="B14" s="42" t="s">
        <v>312</v>
      </c>
    </row>
    <row r="15" customFormat="false" ht="61.5" hidden="false" customHeight="true" outlineLevel="0" collapsed="false">
      <c r="B15" s="43" t="s">
        <v>313</v>
      </c>
    </row>
    <row r="17" customFormat="false" ht="19.5" hidden="false" customHeight="true" outlineLevel="0" collapsed="false">
      <c r="B17" s="42" t="s">
        <v>314</v>
      </c>
    </row>
    <row r="18" customFormat="false" ht="33.75" hidden="false" customHeight="true" outlineLevel="0" collapsed="false">
      <c r="B18" s="43" t="s">
        <v>315</v>
      </c>
    </row>
    <row r="20" customFormat="false" ht="19.5" hidden="false" customHeight="true" outlineLevel="0" collapsed="false">
      <c r="B20" s="42" t="s">
        <v>316</v>
      </c>
    </row>
    <row r="21" customFormat="false" ht="33.75" hidden="false" customHeight="true" outlineLevel="0" collapsed="false">
      <c r="B21" s="43" t="s">
        <v>317</v>
      </c>
    </row>
    <row r="23" customFormat="false" ht="21.75" hidden="false" customHeight="true" outlineLevel="0" collapsed="false">
      <c r="B23" s="44" t="s">
        <v>318</v>
      </c>
    </row>
    <row r="25" customFormat="false" ht="18" hidden="false" customHeight="true" outlineLevel="0" collapsed="false">
      <c r="B25" s="45" t="s">
        <v>319</v>
      </c>
    </row>
    <row r="26" customFormat="false" ht="201.75" hidden="false" customHeight="true" outlineLevel="0" collapsed="false">
      <c r="B26" s="46" t="s">
        <v>320</v>
      </c>
    </row>
    <row r="28" customFormat="false" ht="18" hidden="false" customHeight="true" outlineLevel="0" collapsed="false">
      <c r="B28" s="47" t="s">
        <v>321</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8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18"/>
    <col collapsed="false" customWidth="true" hidden="false" outlineLevel="0" max="4" min="4" style="0" width="12"/>
    <col collapsed="false" customWidth="true" hidden="false" outlineLevel="0" max="5" min="5" style="0" width="35"/>
  </cols>
  <sheetData>
    <row r="1" customFormat="false" ht="15" hidden="false" customHeight="false" outlineLevel="0" collapsed="false">
      <c r="A1" s="1"/>
      <c r="B1" s="1"/>
      <c r="C1" s="1"/>
      <c r="D1" s="1"/>
      <c r="E1" s="1"/>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12</v>
      </c>
      <c r="C2" s="1"/>
      <c r="D2" s="1"/>
      <c r="E2" s="1"/>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54</v>
      </c>
      <c r="C3" s="1"/>
      <c r="D3" s="1"/>
      <c r="E3" s="1"/>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row>
    <row r="5" customFormat="false" ht="15" hidden="false" customHeight="false" outlineLevel="0" collapsed="false">
      <c r="A5" s="6"/>
      <c r="B5" s="23" t="s">
        <v>55</v>
      </c>
      <c r="C5" s="23" t="s">
        <v>56</v>
      </c>
      <c r="D5" s="23" t="s">
        <v>57</v>
      </c>
      <c r="E5" s="23" t="s">
        <v>58</v>
      </c>
    </row>
    <row r="6" customFormat="false" ht="15" hidden="false" customHeight="false" outlineLevel="0" collapsed="false">
      <c r="A6" s="6"/>
      <c r="B6" s="6"/>
      <c r="C6" s="6"/>
      <c r="D6" s="6"/>
      <c r="E6" s="6"/>
    </row>
    <row r="7" customFormat="false" ht="15" hidden="false" customHeight="false" outlineLevel="0" collapsed="false">
      <c r="A7" s="6"/>
      <c r="B7" s="9" t="s">
        <v>59</v>
      </c>
      <c r="C7" s="10"/>
      <c r="D7" s="10"/>
      <c r="E7" s="10"/>
    </row>
    <row r="8" customFormat="false" ht="15" hidden="false" customHeight="false" outlineLevel="0" collapsed="false">
      <c r="A8" s="6"/>
      <c r="B8" s="8" t="s">
        <v>60</v>
      </c>
      <c r="C8" s="24" t="n">
        <v>2026</v>
      </c>
      <c r="D8" s="25"/>
      <c r="E8" s="25" t="s">
        <v>61</v>
      </c>
    </row>
    <row r="9" customFormat="false" ht="15" hidden="false" customHeight="false" outlineLevel="0" collapsed="false">
      <c r="A9" s="6"/>
      <c r="B9" s="6"/>
      <c r="C9" s="6"/>
      <c r="D9" s="6"/>
      <c r="E9" s="6"/>
    </row>
    <row r="10" customFormat="false" ht="15" hidden="false" customHeight="false" outlineLevel="0" collapsed="false">
      <c r="A10" s="6"/>
      <c r="B10" s="9" t="s">
        <v>14</v>
      </c>
      <c r="C10" s="10"/>
      <c r="D10" s="10"/>
      <c r="E10" s="10"/>
    </row>
    <row r="11" customFormat="false" ht="15" hidden="false" customHeight="false" outlineLevel="0" collapsed="false">
      <c r="A11" s="6"/>
      <c r="B11" s="8" t="s">
        <v>62</v>
      </c>
      <c r="C11" s="24" t="n">
        <v>1200</v>
      </c>
      <c r="D11" s="25" t="s">
        <v>63</v>
      </c>
      <c r="E11" s="25" t="s">
        <v>64</v>
      </c>
    </row>
    <row r="12" customFormat="false" ht="15" hidden="false" customHeight="false" outlineLevel="0" collapsed="false">
      <c r="A12" s="6"/>
      <c r="B12" s="8" t="s">
        <v>65</v>
      </c>
      <c r="C12" s="26" t="n">
        <v>0.88</v>
      </c>
      <c r="D12" s="25" t="s">
        <v>66</v>
      </c>
      <c r="E12" s="25" t="s">
        <v>67</v>
      </c>
    </row>
    <row r="13" customFormat="false" ht="15" hidden="false" customHeight="false" outlineLevel="0" collapsed="false">
      <c r="A13" s="6"/>
      <c r="B13" s="8" t="s">
        <v>68</v>
      </c>
      <c r="C13" s="24" t="n">
        <v>4</v>
      </c>
      <c r="D13" s="25" t="s">
        <v>69</v>
      </c>
      <c r="E13" s="25" t="s">
        <v>70</v>
      </c>
    </row>
    <row r="14" customFormat="false" ht="15" hidden="false" customHeight="false" outlineLevel="0" collapsed="false">
      <c r="A14" s="6"/>
      <c r="B14" s="8" t="s">
        <v>71</v>
      </c>
      <c r="C14" s="24" t="n">
        <v>400</v>
      </c>
      <c r="D14" s="25" t="s">
        <v>63</v>
      </c>
      <c r="E14" s="25" t="s">
        <v>72</v>
      </c>
    </row>
    <row r="15" customFormat="false" ht="15" hidden="false" customHeight="false" outlineLevel="0" collapsed="false">
      <c r="A15" s="6"/>
      <c r="B15" s="8" t="s">
        <v>73</v>
      </c>
      <c r="C15" s="26" t="n">
        <v>0.92</v>
      </c>
      <c r="D15" s="25" t="s">
        <v>66</v>
      </c>
      <c r="E15" s="25" t="s">
        <v>74</v>
      </c>
    </row>
    <row r="16" customFormat="false" ht="15" hidden="false" customHeight="false" outlineLevel="0" collapsed="false">
      <c r="A16" s="6"/>
      <c r="B16" s="8" t="s">
        <v>75</v>
      </c>
      <c r="C16" s="24" t="n">
        <v>2</v>
      </c>
      <c r="D16" s="25" t="s">
        <v>69</v>
      </c>
      <c r="E16" s="25" t="s">
        <v>76</v>
      </c>
    </row>
    <row r="17" customFormat="false" ht="15" hidden="false" customHeight="false" outlineLevel="0" collapsed="false">
      <c r="A17" s="6"/>
      <c r="B17" s="8" t="s">
        <v>77</v>
      </c>
      <c r="C17" s="26" t="n">
        <v>0.02</v>
      </c>
      <c r="D17" s="25" t="s">
        <v>66</v>
      </c>
      <c r="E17" s="25" t="s">
        <v>78</v>
      </c>
    </row>
    <row r="18" customFormat="false" ht="15" hidden="false" customHeight="false" outlineLevel="0" collapsed="false">
      <c r="A18" s="6"/>
      <c r="B18" s="6"/>
      <c r="C18" s="6"/>
      <c r="D18" s="6"/>
      <c r="E18" s="6"/>
    </row>
    <row r="19" customFormat="false" ht="15" hidden="false" customHeight="false" outlineLevel="0" collapsed="false">
      <c r="A19" s="6"/>
      <c r="B19" s="9" t="s">
        <v>79</v>
      </c>
      <c r="C19" s="10"/>
      <c r="D19" s="10"/>
      <c r="E19" s="10"/>
    </row>
    <row r="20" customFormat="false" ht="15" hidden="false" customHeight="false" outlineLevel="0" collapsed="false">
      <c r="A20" s="6"/>
      <c r="B20" s="8" t="s">
        <v>80</v>
      </c>
      <c r="C20" s="24" t="n">
        <v>52000</v>
      </c>
      <c r="D20" s="25" t="s">
        <v>81</v>
      </c>
      <c r="E20" s="25" t="s">
        <v>82</v>
      </c>
    </row>
    <row r="21" customFormat="false" ht="15" hidden="false" customHeight="false" outlineLevel="0" collapsed="false">
      <c r="A21" s="6"/>
      <c r="B21" s="8" t="s">
        <v>83</v>
      </c>
      <c r="C21" s="26" t="n">
        <v>0.03</v>
      </c>
      <c r="D21" s="25" t="s">
        <v>66</v>
      </c>
      <c r="E21" s="25" t="s">
        <v>84</v>
      </c>
    </row>
    <row r="22" customFormat="false" ht="15" hidden="false" customHeight="false" outlineLevel="0" collapsed="false">
      <c r="A22" s="6"/>
      <c r="B22" s="8" t="s">
        <v>85</v>
      </c>
      <c r="C22" s="26" t="n">
        <v>0.48</v>
      </c>
      <c r="D22" s="25" t="s">
        <v>66</v>
      </c>
      <c r="E22" s="25" t="s">
        <v>86</v>
      </c>
    </row>
    <row r="23" customFormat="false" ht="15" hidden="false" customHeight="false" outlineLevel="0" collapsed="false">
      <c r="A23" s="6"/>
      <c r="B23" s="8" t="s">
        <v>87</v>
      </c>
      <c r="C23" s="24" t="n">
        <v>42000</v>
      </c>
      <c r="D23" s="25" t="s">
        <v>81</v>
      </c>
      <c r="E23" s="25" t="s">
        <v>82</v>
      </c>
    </row>
    <row r="24" customFormat="false" ht="15" hidden="false" customHeight="false" outlineLevel="0" collapsed="false">
      <c r="A24" s="6"/>
      <c r="B24" s="8" t="s">
        <v>88</v>
      </c>
      <c r="C24" s="26" t="n">
        <v>0.03</v>
      </c>
      <c r="D24" s="25" t="s">
        <v>66</v>
      </c>
      <c r="E24" s="25" t="s">
        <v>84</v>
      </c>
    </row>
    <row r="25" customFormat="false" ht="15" hidden="false" customHeight="false" outlineLevel="0" collapsed="false">
      <c r="A25" s="6"/>
      <c r="B25" s="8" t="s">
        <v>89</v>
      </c>
      <c r="C25" s="26" t="n">
        <v>0.3</v>
      </c>
      <c r="D25" s="25" t="s">
        <v>66</v>
      </c>
      <c r="E25" s="25" t="s">
        <v>90</v>
      </c>
    </row>
    <row r="26" customFormat="false" ht="15" hidden="false" customHeight="false" outlineLevel="0" collapsed="false">
      <c r="A26" s="6"/>
      <c r="B26" s="6"/>
      <c r="C26" s="6"/>
      <c r="D26" s="6"/>
      <c r="E26" s="6"/>
    </row>
    <row r="27" customFormat="false" ht="15" hidden="false" customHeight="false" outlineLevel="0" collapsed="false">
      <c r="A27" s="6"/>
      <c r="B27" s="9" t="s">
        <v>91</v>
      </c>
      <c r="C27" s="10"/>
      <c r="D27" s="10"/>
      <c r="E27" s="10"/>
    </row>
    <row r="28" customFormat="false" ht="15" hidden="false" customHeight="false" outlineLevel="0" collapsed="false">
      <c r="A28" s="6"/>
      <c r="B28" s="8" t="s">
        <v>92</v>
      </c>
      <c r="C28" s="24" t="n">
        <v>18000000</v>
      </c>
      <c r="D28" s="25" t="s">
        <v>81</v>
      </c>
      <c r="E28" s="25" t="s">
        <v>93</v>
      </c>
    </row>
    <row r="29" customFormat="false" ht="15" hidden="false" customHeight="false" outlineLevel="0" collapsed="false">
      <c r="A29" s="6"/>
      <c r="B29" s="8" t="s">
        <v>94</v>
      </c>
      <c r="C29" s="26" t="n">
        <v>0.02</v>
      </c>
      <c r="D29" s="25" t="s">
        <v>66</v>
      </c>
      <c r="E29" s="25" t="s">
        <v>95</v>
      </c>
    </row>
    <row r="30" customFormat="false" ht="15" hidden="false" customHeight="false" outlineLevel="0" collapsed="false">
      <c r="A30" s="6"/>
      <c r="B30" s="8" t="s">
        <v>96</v>
      </c>
      <c r="C30" s="24" t="n">
        <v>8500</v>
      </c>
      <c r="D30" s="25" t="s">
        <v>81</v>
      </c>
      <c r="E30" s="25" t="s">
        <v>97</v>
      </c>
    </row>
    <row r="31" customFormat="false" ht="15" hidden="false" customHeight="false" outlineLevel="0" collapsed="false">
      <c r="A31" s="6"/>
      <c r="B31" s="8" t="s">
        <v>98</v>
      </c>
      <c r="C31" s="26" t="n">
        <v>0.025</v>
      </c>
      <c r="D31" s="25" t="s">
        <v>66</v>
      </c>
      <c r="E31" s="25" t="s">
        <v>84</v>
      </c>
    </row>
    <row r="32" customFormat="false" ht="15" hidden="false" customHeight="false" outlineLevel="0" collapsed="false">
      <c r="A32" s="6"/>
      <c r="B32" s="6"/>
      <c r="C32" s="6"/>
      <c r="D32" s="6"/>
      <c r="E32" s="6"/>
    </row>
    <row r="33" customFormat="false" ht="15" hidden="false" customHeight="false" outlineLevel="0" collapsed="false">
      <c r="A33" s="6"/>
      <c r="B33" s="9" t="s">
        <v>24</v>
      </c>
      <c r="C33" s="10"/>
      <c r="D33" s="10"/>
      <c r="E33" s="10"/>
    </row>
    <row r="34" customFormat="false" ht="15" hidden="false" customHeight="false" outlineLevel="0" collapsed="false">
      <c r="A34" s="6"/>
      <c r="B34" s="8" t="s">
        <v>99</v>
      </c>
      <c r="C34" s="24" t="n">
        <v>250000000</v>
      </c>
      <c r="D34" s="25" t="s">
        <v>81</v>
      </c>
      <c r="E34" s="25" t="s">
        <v>100</v>
      </c>
    </row>
    <row r="35" customFormat="false" ht="15" hidden="false" customHeight="false" outlineLevel="0" collapsed="false">
      <c r="A35" s="6"/>
      <c r="B35" s="8" t="s">
        <v>101</v>
      </c>
      <c r="C35" s="26" t="n">
        <v>0.07</v>
      </c>
      <c r="D35" s="25" t="s">
        <v>66</v>
      </c>
      <c r="E35" s="25" t="s">
        <v>102</v>
      </c>
    </row>
    <row r="36" customFormat="false" ht="15" hidden="false" customHeight="false" outlineLevel="0" collapsed="false">
      <c r="A36" s="6"/>
      <c r="B36" s="8" t="s">
        <v>103</v>
      </c>
      <c r="C36" s="26" t="n">
        <v>0.045</v>
      </c>
      <c r="D36" s="25" t="s">
        <v>66</v>
      </c>
      <c r="E36" s="25" t="s">
        <v>104</v>
      </c>
    </row>
    <row r="37" customFormat="false" ht="15" hidden="false" customHeight="false" outlineLevel="0" collapsed="false">
      <c r="A37" s="6"/>
      <c r="B37" s="8" t="s">
        <v>105</v>
      </c>
      <c r="C37" s="24" t="n">
        <v>5000000</v>
      </c>
      <c r="D37" s="25" t="s">
        <v>81</v>
      </c>
      <c r="E37" s="25" t="s">
        <v>106</v>
      </c>
    </row>
    <row r="38" customFormat="false" ht="15" hidden="false" customHeight="false" outlineLevel="0" collapsed="false">
      <c r="A38" s="6"/>
      <c r="B38" s="6"/>
      <c r="C38" s="6"/>
      <c r="D38" s="6"/>
      <c r="E38" s="6"/>
    </row>
    <row r="39" customFormat="false" ht="15" hidden="false" customHeight="false" outlineLevel="0" collapsed="false">
      <c r="A39" s="6"/>
      <c r="B39" s="9" t="s">
        <v>107</v>
      </c>
      <c r="C39" s="10"/>
      <c r="D39" s="10"/>
      <c r="E39" s="10"/>
    </row>
    <row r="40" customFormat="false" ht="15" hidden="false" customHeight="false" outlineLevel="0" collapsed="false">
      <c r="A40" s="6"/>
      <c r="B40" s="8" t="s">
        <v>108</v>
      </c>
      <c r="C40" s="24" t="n">
        <v>14</v>
      </c>
      <c r="D40" s="25" t="s">
        <v>109</v>
      </c>
      <c r="E40" s="25" t="s">
        <v>110</v>
      </c>
    </row>
    <row r="41" customFormat="false" ht="15" hidden="false" customHeight="false" outlineLevel="0" collapsed="false">
      <c r="A41" s="6"/>
      <c r="B41" s="8" t="s">
        <v>111</v>
      </c>
      <c r="C41" s="24" t="n">
        <v>95000</v>
      </c>
      <c r="D41" s="25" t="s">
        <v>81</v>
      </c>
      <c r="E41" s="25" t="s">
        <v>112</v>
      </c>
    </row>
    <row r="42" customFormat="false" ht="15" hidden="false" customHeight="false" outlineLevel="0" collapsed="false">
      <c r="A42" s="6"/>
      <c r="B42" s="8" t="s">
        <v>113</v>
      </c>
      <c r="C42" s="26" t="n">
        <v>0.03</v>
      </c>
      <c r="D42" s="25" t="s">
        <v>66</v>
      </c>
      <c r="E42" s="25" t="s">
        <v>84</v>
      </c>
    </row>
    <row r="43" customFormat="false" ht="15" hidden="false" customHeight="false" outlineLevel="0" collapsed="false">
      <c r="A43" s="6"/>
      <c r="B43" s="8" t="s">
        <v>114</v>
      </c>
      <c r="C43" s="26" t="n">
        <v>0.28</v>
      </c>
      <c r="D43" s="25" t="s">
        <v>66</v>
      </c>
      <c r="E43" s="25" t="s">
        <v>115</v>
      </c>
    </row>
    <row r="44" customFormat="false" ht="15" hidden="false" customHeight="false" outlineLevel="0" collapsed="false">
      <c r="A44" s="6"/>
      <c r="B44" s="8" t="s">
        <v>116</v>
      </c>
      <c r="C44" s="24" t="n">
        <v>350</v>
      </c>
      <c r="D44" s="25" t="s">
        <v>117</v>
      </c>
      <c r="E44" s="25" t="s">
        <v>118</v>
      </c>
    </row>
    <row r="45" customFormat="false" ht="15" hidden="false" customHeight="false" outlineLevel="0" collapsed="false">
      <c r="A45" s="6"/>
      <c r="B45" s="8" t="s">
        <v>119</v>
      </c>
      <c r="C45" s="24" t="n">
        <v>55000</v>
      </c>
      <c r="D45" s="25" t="s">
        <v>81</v>
      </c>
      <c r="E45" s="25" t="s">
        <v>120</v>
      </c>
    </row>
    <row r="46" customFormat="false" ht="15" hidden="false" customHeight="false" outlineLevel="0" collapsed="false">
      <c r="A46" s="6"/>
      <c r="B46" s="8" t="s">
        <v>121</v>
      </c>
      <c r="C46" s="26" t="n">
        <v>0.025</v>
      </c>
      <c r="D46" s="25" t="s">
        <v>66</v>
      </c>
      <c r="E46" s="25" t="s">
        <v>84</v>
      </c>
    </row>
    <row r="47" customFormat="false" ht="15" hidden="false" customHeight="false" outlineLevel="0" collapsed="false">
      <c r="A47" s="6"/>
      <c r="B47" s="6"/>
      <c r="C47" s="6"/>
      <c r="D47" s="6"/>
      <c r="E47" s="6"/>
    </row>
    <row r="48" customFormat="false" ht="15" hidden="false" customHeight="false" outlineLevel="0" collapsed="false">
      <c r="A48" s="6"/>
      <c r="B48" s="9" t="s">
        <v>122</v>
      </c>
      <c r="C48" s="10"/>
      <c r="D48" s="10"/>
      <c r="E48" s="10"/>
    </row>
    <row r="49" customFormat="false" ht="15" hidden="false" customHeight="false" outlineLevel="0" collapsed="false">
      <c r="A49" s="6"/>
      <c r="B49" s="8" t="s">
        <v>123</v>
      </c>
      <c r="C49" s="26" t="n">
        <v>0.1</v>
      </c>
      <c r="D49" s="25" t="s">
        <v>66</v>
      </c>
      <c r="E49" s="25" t="s">
        <v>124</v>
      </c>
    </row>
    <row r="50" customFormat="false" ht="15" hidden="false" customHeight="false" outlineLevel="0" collapsed="false">
      <c r="A50" s="6"/>
      <c r="B50" s="8" t="s">
        <v>125</v>
      </c>
      <c r="C50" s="26" t="n">
        <v>0.04</v>
      </c>
      <c r="D50" s="25" t="s">
        <v>66</v>
      </c>
      <c r="E50" s="25" t="s">
        <v>124</v>
      </c>
    </row>
    <row r="51" customFormat="false" ht="15" hidden="false" customHeight="false" outlineLevel="0" collapsed="false">
      <c r="A51" s="6"/>
      <c r="B51" s="8" t="s">
        <v>126</v>
      </c>
      <c r="C51" s="26" t="n">
        <v>0.035</v>
      </c>
      <c r="D51" s="25" t="s">
        <v>66</v>
      </c>
      <c r="E51" s="25" t="s">
        <v>124</v>
      </c>
    </row>
    <row r="52" customFormat="false" ht="15" hidden="false" customHeight="false" outlineLevel="0" collapsed="false">
      <c r="A52" s="6"/>
      <c r="B52" s="8" t="s">
        <v>127</v>
      </c>
      <c r="C52" s="26" t="n">
        <v>0.04</v>
      </c>
      <c r="D52" s="25" t="s">
        <v>66</v>
      </c>
      <c r="E52" s="25" t="s">
        <v>124</v>
      </c>
    </row>
    <row r="53" customFormat="false" ht="15" hidden="false" customHeight="false" outlineLevel="0" collapsed="false">
      <c r="A53" s="6"/>
      <c r="B53" s="8" t="s">
        <v>128</v>
      </c>
      <c r="C53" s="24" t="n">
        <v>3000000</v>
      </c>
      <c r="D53" s="25" t="s">
        <v>81</v>
      </c>
      <c r="E53" s="25" t="s">
        <v>129</v>
      </c>
    </row>
    <row r="54" customFormat="false" ht="15" hidden="false" customHeight="false" outlineLevel="0" collapsed="false">
      <c r="A54" s="6"/>
      <c r="B54" s="8" t="s">
        <v>130</v>
      </c>
      <c r="C54" s="26" t="n">
        <v>0.03</v>
      </c>
      <c r="D54" s="25" t="s">
        <v>66</v>
      </c>
      <c r="E54" s="25" t="s">
        <v>84</v>
      </c>
    </row>
    <row r="55" customFormat="false" ht="15" hidden="false" customHeight="false" outlineLevel="0" collapsed="false">
      <c r="A55" s="6"/>
      <c r="B55" s="8" t="s">
        <v>131</v>
      </c>
      <c r="C55" s="24" t="n">
        <v>4500000</v>
      </c>
      <c r="D55" s="25" t="s">
        <v>81</v>
      </c>
      <c r="E55" s="25" t="s">
        <v>132</v>
      </c>
    </row>
    <row r="56" customFormat="false" ht="15" hidden="false" customHeight="false" outlineLevel="0" collapsed="false">
      <c r="A56" s="6"/>
      <c r="B56" s="8" t="s">
        <v>133</v>
      </c>
      <c r="C56" s="26" t="n">
        <v>0.03</v>
      </c>
      <c r="D56" s="25" t="s">
        <v>66</v>
      </c>
      <c r="E56" s="25" t="s">
        <v>84</v>
      </c>
    </row>
    <row r="57" customFormat="false" ht="15" hidden="false" customHeight="false" outlineLevel="0" collapsed="false">
      <c r="A57" s="6"/>
      <c r="B57" s="8" t="s">
        <v>134</v>
      </c>
      <c r="C57" s="26" t="n">
        <v>0.025</v>
      </c>
      <c r="D57" s="25" t="s">
        <v>66</v>
      </c>
      <c r="E57" s="25" t="s">
        <v>124</v>
      </c>
    </row>
    <row r="58" customFormat="false" ht="15" hidden="false" customHeight="false" outlineLevel="0" collapsed="false">
      <c r="A58" s="6"/>
      <c r="B58" s="6"/>
      <c r="C58" s="6"/>
      <c r="D58" s="6"/>
      <c r="E58" s="6"/>
    </row>
    <row r="59" customFormat="false" ht="15" hidden="false" customHeight="false" outlineLevel="0" collapsed="false">
      <c r="A59" s="6"/>
      <c r="B59" s="9" t="s">
        <v>135</v>
      </c>
      <c r="C59" s="10"/>
      <c r="D59" s="10"/>
      <c r="E59" s="10"/>
    </row>
    <row r="60" customFormat="false" ht="15" hidden="false" customHeight="false" outlineLevel="0" collapsed="false">
      <c r="A60" s="6"/>
      <c r="B60" s="8" t="s">
        <v>136</v>
      </c>
      <c r="C60" s="24" t="n">
        <v>500000000</v>
      </c>
      <c r="D60" s="25" t="s">
        <v>81</v>
      </c>
      <c r="E60" s="25" t="s">
        <v>137</v>
      </c>
    </row>
    <row r="61" customFormat="false" ht="15" hidden="false" customHeight="false" outlineLevel="0" collapsed="false">
      <c r="A61" s="6"/>
      <c r="B61" s="8" t="s">
        <v>138</v>
      </c>
      <c r="C61" s="24" t="n">
        <v>200000000</v>
      </c>
      <c r="D61" s="25" t="s">
        <v>81</v>
      </c>
      <c r="E61" s="25" t="s">
        <v>139</v>
      </c>
    </row>
    <row r="62" customFormat="false" ht="15" hidden="false" customHeight="false" outlineLevel="0" collapsed="false">
      <c r="A62" s="6"/>
      <c r="B62" s="8" t="s">
        <v>140</v>
      </c>
      <c r="C62" s="24" t="n">
        <v>30</v>
      </c>
      <c r="D62" s="25" t="s">
        <v>69</v>
      </c>
      <c r="E62" s="25" t="s">
        <v>141</v>
      </c>
    </row>
    <row r="63" customFormat="false" ht="15" hidden="false" customHeight="false" outlineLevel="0" collapsed="false">
      <c r="A63" s="6"/>
      <c r="B63" s="8" t="s">
        <v>142</v>
      </c>
      <c r="C63" s="26" t="n">
        <v>0.05</v>
      </c>
      <c r="D63" s="25" t="s">
        <v>66</v>
      </c>
      <c r="E63" s="25" t="s">
        <v>124</v>
      </c>
    </row>
    <row r="64" customFormat="false" ht="15" hidden="false" customHeight="false" outlineLevel="0" collapsed="false">
      <c r="A64" s="6"/>
      <c r="B64" s="8" t="s">
        <v>143</v>
      </c>
      <c r="C64" s="24" t="n">
        <v>15000000</v>
      </c>
      <c r="D64" s="25" t="s">
        <v>81</v>
      </c>
      <c r="E64" s="25" t="s">
        <v>144</v>
      </c>
    </row>
    <row r="65" customFormat="false" ht="15" hidden="false" customHeight="false" outlineLevel="0" collapsed="false">
      <c r="A65" s="6"/>
      <c r="B65" s="8" t="s">
        <v>145</v>
      </c>
      <c r="C65" s="24" t="n">
        <v>20000000</v>
      </c>
      <c r="D65" s="25" t="s">
        <v>81</v>
      </c>
      <c r="E65" s="25"/>
    </row>
    <row r="66" customFormat="false" ht="15" hidden="false" customHeight="false" outlineLevel="0" collapsed="false">
      <c r="A66" s="6"/>
      <c r="B66" s="8" t="s">
        <v>146</v>
      </c>
      <c r="C66" s="24" t="n">
        <v>10000000</v>
      </c>
      <c r="D66" s="25" t="s">
        <v>81</v>
      </c>
      <c r="E66" s="25"/>
    </row>
    <row r="67" customFormat="false" ht="15" hidden="false" customHeight="false" outlineLevel="0" collapsed="false">
      <c r="A67" s="6"/>
      <c r="B67" s="8" t="s">
        <v>147</v>
      </c>
      <c r="C67" s="24" t="n">
        <v>5000000</v>
      </c>
      <c r="D67" s="25" t="s">
        <v>81</v>
      </c>
      <c r="E67" s="25"/>
    </row>
    <row r="68" customFormat="false" ht="15" hidden="false" customHeight="false" outlineLevel="0" collapsed="false">
      <c r="A68" s="6"/>
      <c r="B68" s="8" t="s">
        <v>148</v>
      </c>
      <c r="C68" s="24" t="n">
        <v>5000000</v>
      </c>
      <c r="D68" s="25" t="s">
        <v>81</v>
      </c>
      <c r="E68" s="25"/>
    </row>
    <row r="69" customFormat="false" ht="15" hidden="false" customHeight="false" outlineLevel="0" collapsed="false">
      <c r="A69" s="6"/>
      <c r="B69" s="8" t="s">
        <v>149</v>
      </c>
      <c r="C69" s="24" t="n">
        <v>20</v>
      </c>
      <c r="D69" s="25" t="s">
        <v>69</v>
      </c>
      <c r="E69" s="25" t="s">
        <v>150</v>
      </c>
    </row>
    <row r="70" customFormat="false" ht="15" hidden="false" customHeight="false" outlineLevel="0" collapsed="false">
      <c r="A70" s="6"/>
      <c r="B70" s="6"/>
      <c r="C70" s="6"/>
      <c r="D70" s="6"/>
      <c r="E70" s="6"/>
    </row>
    <row r="71" customFormat="false" ht="15" hidden="false" customHeight="false" outlineLevel="0" collapsed="false">
      <c r="A71" s="6"/>
      <c r="B71" s="9" t="s">
        <v>151</v>
      </c>
      <c r="C71" s="10"/>
      <c r="D71" s="10"/>
      <c r="E71" s="10"/>
    </row>
    <row r="72" customFormat="false" ht="15" hidden="false" customHeight="false" outlineLevel="0" collapsed="false">
      <c r="A72" s="6"/>
      <c r="B72" s="8" t="s">
        <v>152</v>
      </c>
      <c r="C72" s="24" t="n">
        <v>80000000</v>
      </c>
      <c r="D72" s="25" t="s">
        <v>81</v>
      </c>
      <c r="E72" s="25" t="s">
        <v>153</v>
      </c>
    </row>
    <row r="73" customFormat="false" ht="15" hidden="false" customHeight="false" outlineLevel="0" collapsed="false">
      <c r="A73" s="6"/>
      <c r="B73" s="8" t="s">
        <v>154</v>
      </c>
      <c r="C73" s="26" t="n">
        <v>0.045</v>
      </c>
      <c r="D73" s="25" t="s">
        <v>66</v>
      </c>
      <c r="E73" s="25" t="s">
        <v>155</v>
      </c>
    </row>
    <row r="74" customFormat="false" ht="15" hidden="false" customHeight="false" outlineLevel="0" collapsed="false">
      <c r="A74" s="6"/>
      <c r="B74" s="8" t="s">
        <v>156</v>
      </c>
      <c r="C74" s="24" t="n">
        <v>20</v>
      </c>
      <c r="D74" s="25" t="s">
        <v>69</v>
      </c>
      <c r="E74" s="25" t="s">
        <v>157</v>
      </c>
    </row>
    <row r="75" customFormat="false" ht="15" hidden="false" customHeight="false" outlineLevel="0" collapsed="false">
      <c r="A75" s="6"/>
      <c r="B75" s="6"/>
      <c r="C75" s="6"/>
      <c r="D75" s="6"/>
      <c r="E75" s="6"/>
    </row>
    <row r="76" customFormat="false" ht="15" hidden="false" customHeight="false" outlineLevel="0" collapsed="false">
      <c r="A76" s="6"/>
      <c r="B76" s="9" t="s">
        <v>158</v>
      </c>
      <c r="C76" s="10"/>
      <c r="D76" s="10"/>
      <c r="E76" s="10"/>
    </row>
    <row r="77" customFormat="false" ht="15" hidden="false" customHeight="false" outlineLevel="0" collapsed="false">
      <c r="A77" s="6"/>
      <c r="B77" s="8" t="s">
        <v>159</v>
      </c>
      <c r="C77" s="24" t="n">
        <v>0</v>
      </c>
      <c r="D77" s="25" t="s">
        <v>66</v>
      </c>
      <c r="E77" s="25" t="s">
        <v>160</v>
      </c>
    </row>
    <row r="78" customFormat="false" ht="15" hidden="false" customHeight="false" outlineLevel="0" collapsed="false">
      <c r="A78" s="6"/>
      <c r="B78" s="6"/>
      <c r="C78" s="6"/>
      <c r="D78" s="6"/>
      <c r="E78" s="6"/>
    </row>
    <row r="79" customFormat="false" ht="15" hidden="false" customHeight="false" outlineLevel="0" collapsed="false">
      <c r="A79" s="6"/>
      <c r="B79" s="9" t="s">
        <v>161</v>
      </c>
      <c r="C79" s="10"/>
      <c r="D79" s="10"/>
      <c r="E79" s="10"/>
    </row>
    <row r="80" customFormat="false" ht="15" hidden="false" customHeight="false" outlineLevel="0" collapsed="false">
      <c r="A80" s="6"/>
      <c r="B80" s="8" t="s">
        <v>162</v>
      </c>
      <c r="C80" s="24" t="n">
        <v>35</v>
      </c>
      <c r="D80" s="25" t="s">
        <v>163</v>
      </c>
      <c r="E80" s="25" t="s">
        <v>164</v>
      </c>
    </row>
    <row r="81" customFormat="false" ht="15" hidden="false" customHeight="false" outlineLevel="0" collapsed="false">
      <c r="A81" s="6"/>
      <c r="B81" s="8" t="s">
        <v>165</v>
      </c>
      <c r="C81" s="24" t="n">
        <v>40</v>
      </c>
      <c r="D81" s="25" t="s">
        <v>163</v>
      </c>
      <c r="E81" s="25" t="s">
        <v>166</v>
      </c>
    </row>
    <row r="82" customFormat="false" ht="15" hidden="false" customHeight="false" outlineLevel="0" collapsed="false">
      <c r="A82" s="6"/>
      <c r="B82" s="8" t="s">
        <v>167</v>
      </c>
      <c r="C82" s="24" t="n">
        <v>45</v>
      </c>
      <c r="D82" s="25" t="s">
        <v>163</v>
      </c>
      <c r="E82" s="25" t="s">
        <v>168</v>
      </c>
    </row>
    <row r="83" customFormat="false" ht="15" hidden="false" customHeight="false" outlineLevel="0" collapsed="false">
      <c r="A83" s="6"/>
      <c r="B83" s="8" t="s">
        <v>169</v>
      </c>
      <c r="C83" s="26" t="n">
        <v>0.02</v>
      </c>
      <c r="D83" s="25" t="s">
        <v>66</v>
      </c>
      <c r="E83" s="25" t="s">
        <v>170</v>
      </c>
    </row>
    <row r="84" customFormat="false" ht="15" hidden="false" customHeight="false" outlineLevel="0" collapsed="false">
      <c r="A84" s="6"/>
      <c r="B84" s="6"/>
      <c r="C84" s="6"/>
      <c r="D84" s="6"/>
      <c r="E84" s="6"/>
    </row>
    <row r="85" customFormat="false" ht="15" hidden="false" customHeight="false" outlineLevel="0" collapsed="false">
      <c r="A85" s="6"/>
      <c r="B85" s="9" t="s">
        <v>171</v>
      </c>
      <c r="C85" s="10"/>
      <c r="D85" s="10"/>
      <c r="E85" s="10"/>
    </row>
    <row r="86" customFormat="false" ht="15" hidden="false" customHeight="false" outlineLevel="0" collapsed="false">
      <c r="A86" s="6"/>
      <c r="B86" s="8" t="s">
        <v>172</v>
      </c>
      <c r="C86" s="24" t="n">
        <v>40000000</v>
      </c>
      <c r="D86" s="25" t="s">
        <v>81</v>
      </c>
      <c r="E86" s="25" t="s">
        <v>173</v>
      </c>
    </row>
    <row r="87" customFormat="false" ht="15" hidden="false" customHeight="false" outlineLevel="0" collapsed="false">
      <c r="A87" s="6"/>
      <c r="B87" s="8" t="s">
        <v>174</v>
      </c>
      <c r="C87" s="24" t="n">
        <v>494243836</v>
      </c>
      <c r="D87" s="25" t="s">
        <v>81</v>
      </c>
      <c r="E87" s="25" t="s">
        <v>175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176</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177</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7"/>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25" t="s">
        <v>178</v>
      </c>
      <c r="C6" s="29" t="n">
        <f aca="false">COLUMN()-2</f>
        <v>1</v>
      </c>
      <c r="D6" s="29" t="n">
        <f aca="false">COLUMN()-2</f>
        <v>2</v>
      </c>
      <c r="E6" s="29" t="n">
        <f aca="false">COLUMN()-2</f>
        <v>3</v>
      </c>
      <c r="F6" s="29" t="n">
        <f aca="false">COLUMN()-2</f>
        <v>4</v>
      </c>
      <c r="G6" s="29" t="n">
        <f aca="false">COLUMN()-2</f>
        <v>5</v>
      </c>
    </row>
    <row r="7" customFormat="false" ht="15" hidden="false" customHeight="false" outlineLevel="0" collapsed="false">
      <c r="A7" s="6"/>
      <c r="B7" s="9" t="s">
        <v>179</v>
      </c>
      <c r="C7" s="10"/>
      <c r="D7" s="10"/>
      <c r="E7" s="10"/>
      <c r="F7" s="10"/>
      <c r="G7" s="10"/>
    </row>
    <row r="8" customFormat="false" ht="15" hidden="false" customHeight="false" outlineLevel="0" collapsed="false">
      <c r="A8" s="6"/>
      <c r="B8" s="8" t="s">
        <v>180</v>
      </c>
      <c r="C8" s="30" t="n">
        <f aca="false">ROUNDUP(UG_Intake_Base*UG_Duration*((1-UG_Retention^UG_Duration)/(1-UG_Retention)),0)</f>
        <v>16013</v>
      </c>
      <c r="D8" s="30" t="n">
        <f aca="false">C11</f>
        <v>11768</v>
      </c>
      <c r="E8" s="30" t="n">
        <f aca="false">D11</f>
        <v>8991</v>
      </c>
      <c r="F8" s="30" t="n">
        <f aca="false">E11</f>
        <v>7183</v>
      </c>
      <c r="G8" s="30" t="n">
        <f aca="false">F11</f>
        <v>6015</v>
      </c>
    </row>
    <row r="9" customFormat="false" ht="15" hidden="false" customHeight="false" outlineLevel="0" collapsed="false">
      <c r="A9" s="6"/>
      <c r="B9" s="31" t="s">
        <v>181</v>
      </c>
      <c r="C9" s="30" t="n">
        <f aca="false">ROUNDUP(UG_Intake_Base*(1+Intake_Growth)^(C6-1),0)</f>
        <v>1200</v>
      </c>
      <c r="D9" s="30" t="n">
        <f aca="false">ROUNDUP(UG_Intake_Base*(1+Intake_Growth)^(D6-1),0)</f>
        <v>1224</v>
      </c>
      <c r="E9" s="30" t="n">
        <f aca="false">ROUNDUP(UG_Intake_Base*(1+Intake_Growth)^(E6-1),0)</f>
        <v>1249</v>
      </c>
      <c r="F9" s="30" t="n">
        <f aca="false">ROUNDUP(UG_Intake_Base*(1+Intake_Growth)^(F6-1),0)</f>
        <v>1274</v>
      </c>
      <c r="G9" s="30" t="n">
        <f aca="false">ROUNDUP(UG_Intake_Base*(1+Intake_Growth)^(G6-1),0)</f>
        <v>1299</v>
      </c>
    </row>
    <row r="10" customFormat="false" ht="15" hidden="false" customHeight="false" outlineLevel="0" collapsed="false">
      <c r="A10" s="6"/>
      <c r="B10" s="31" t="s">
        <v>182</v>
      </c>
      <c r="C10" s="30" t="n">
        <f aca="false">ROUNDUP(C8/UG_Duration,0)</f>
        <v>4004</v>
      </c>
      <c r="D10" s="30" t="n">
        <f aca="false">ROUNDUP(D8/UG_Duration,0)</f>
        <v>2942</v>
      </c>
      <c r="E10" s="30" t="n">
        <f aca="false">ROUNDUP(E8/UG_Duration,0)</f>
        <v>2248</v>
      </c>
      <c r="F10" s="30" t="n">
        <f aca="false">ROUNDUP(F8/UG_Duration,0)</f>
        <v>1796</v>
      </c>
      <c r="G10" s="30" t="n">
        <f aca="false">ROUNDUP(G8/UG_Duration,0)</f>
        <v>1504</v>
      </c>
    </row>
    <row r="11" customFormat="false" ht="15" hidden="false" customHeight="false" outlineLevel="0" collapsed="false">
      <c r="A11" s="6"/>
      <c r="B11" s="7" t="s">
        <v>183</v>
      </c>
      <c r="C11" s="32" t="n">
        <f aca="false">ROUNDUP((C8-C10)*UG_Retention+C9,0)</f>
        <v>11768</v>
      </c>
      <c r="D11" s="32" t="n">
        <f aca="false">ROUNDUP((D8-D10)*UG_Retention+D9,0)</f>
        <v>8991</v>
      </c>
      <c r="E11" s="32" t="n">
        <f aca="false">ROUNDUP((E8-E10)*UG_Retention+E9,0)</f>
        <v>7183</v>
      </c>
      <c r="F11" s="32" t="n">
        <f aca="false">ROUNDUP((F8-F10)*UG_Retention+F9,0)</f>
        <v>6015</v>
      </c>
      <c r="G11" s="32" t="n">
        <f aca="false">ROUNDUP((G8-G10)*UG_Retention+G9,0)</f>
        <v>5269</v>
      </c>
    </row>
    <row r="12" customFormat="false" ht="15" hidden="false" customHeight="false" outlineLevel="0" collapsed="false">
      <c r="A12" s="6"/>
      <c r="B12" s="6"/>
      <c r="C12" s="6"/>
      <c r="D12" s="6"/>
      <c r="E12" s="6"/>
      <c r="F12" s="6"/>
      <c r="G12" s="6"/>
    </row>
    <row r="13" customFormat="false" ht="15" hidden="false" customHeight="false" outlineLevel="0" collapsed="false">
      <c r="A13" s="6"/>
      <c r="B13" s="9" t="s">
        <v>184</v>
      </c>
      <c r="C13" s="10"/>
      <c r="D13" s="10"/>
      <c r="E13" s="10"/>
      <c r="F13" s="10"/>
      <c r="G13" s="10"/>
    </row>
    <row r="14" customFormat="false" ht="15" hidden="false" customHeight="false" outlineLevel="0" collapsed="false">
      <c r="A14" s="6"/>
      <c r="B14" s="8" t="s">
        <v>180</v>
      </c>
      <c r="C14" s="30" t="n">
        <f aca="false">ROUNDUP(PG_Intake_Base*PG_Duration*((1-PG_Retention^PG_Duration)/(1-PG_Retention)),0)</f>
        <v>1536</v>
      </c>
      <c r="D14" s="30" t="n">
        <f aca="false">C17</f>
        <v>1107</v>
      </c>
      <c r="E14" s="30" t="n">
        <f aca="false">D17</f>
        <v>917</v>
      </c>
      <c r="F14" s="30" t="n">
        <f aca="false">E17</f>
        <v>839</v>
      </c>
      <c r="G14" s="30" t="n">
        <f aca="false">F17</f>
        <v>811</v>
      </c>
    </row>
    <row r="15" customFormat="false" ht="15" hidden="false" customHeight="false" outlineLevel="0" collapsed="false">
      <c r="A15" s="6"/>
      <c r="B15" s="31" t="s">
        <v>181</v>
      </c>
      <c r="C15" s="30" t="n">
        <f aca="false">ROUNDUP(PG_Intake_Base*(1+Intake_Growth)^(C6-1),0)</f>
        <v>400</v>
      </c>
      <c r="D15" s="30" t="n">
        <f aca="false">ROUNDUP(PG_Intake_Base*(1+Intake_Growth)^(D6-1),0)</f>
        <v>408</v>
      </c>
      <c r="E15" s="30" t="n">
        <f aca="false">ROUNDUP(PG_Intake_Base*(1+Intake_Growth)^(E6-1),0)</f>
        <v>417</v>
      </c>
      <c r="F15" s="30" t="n">
        <f aca="false">ROUNDUP(PG_Intake_Base*(1+Intake_Growth)^(F6-1),0)</f>
        <v>425</v>
      </c>
      <c r="G15" s="30" t="n">
        <f aca="false">ROUNDUP(PG_Intake_Base*(1+Intake_Growth)^(G6-1),0)</f>
        <v>433</v>
      </c>
    </row>
    <row r="16" customFormat="false" ht="15" hidden="false" customHeight="false" outlineLevel="0" collapsed="false">
      <c r="A16" s="6"/>
      <c r="B16" s="31" t="s">
        <v>182</v>
      </c>
      <c r="C16" s="30" t="n">
        <f aca="false">ROUNDUP(C14/PG_Duration,0)</f>
        <v>768</v>
      </c>
      <c r="D16" s="30" t="n">
        <f aca="false">ROUNDUP(D14/PG_Duration,0)</f>
        <v>554</v>
      </c>
      <c r="E16" s="30" t="n">
        <f aca="false">ROUNDUP(E14/PG_Duration,0)</f>
        <v>459</v>
      </c>
      <c r="F16" s="30" t="n">
        <f aca="false">ROUNDUP(F14/PG_Duration,0)</f>
        <v>420</v>
      </c>
      <c r="G16" s="30" t="n">
        <f aca="false">ROUNDUP(G14/PG_Duration,0)</f>
        <v>406</v>
      </c>
    </row>
    <row r="17" customFormat="false" ht="15" hidden="false" customHeight="false" outlineLevel="0" collapsed="false">
      <c r="A17" s="6"/>
      <c r="B17" s="7" t="s">
        <v>183</v>
      </c>
      <c r="C17" s="32" t="n">
        <f aca="false">ROUNDUP((C14-C16)*PG_Retention+C15,0)</f>
        <v>1107</v>
      </c>
      <c r="D17" s="32" t="n">
        <f aca="false">ROUNDUP((D14-D16)*PG_Retention+D15,0)</f>
        <v>917</v>
      </c>
      <c r="E17" s="32" t="n">
        <f aca="false">ROUNDUP((E14-E16)*PG_Retention+E15,0)</f>
        <v>839</v>
      </c>
      <c r="F17" s="32" t="n">
        <f aca="false">ROUNDUP((F14-F16)*PG_Retention+F15,0)</f>
        <v>811</v>
      </c>
      <c r="G17" s="32" t="n">
        <f aca="false">ROUNDUP((G14-G16)*PG_Retention+G15,0)</f>
        <v>806</v>
      </c>
    </row>
    <row r="18" customFormat="false" ht="15" hidden="false" customHeight="false" outlineLevel="0" collapsed="false">
      <c r="A18" s="6"/>
      <c r="B18" s="6"/>
      <c r="C18" s="6"/>
      <c r="D18" s="6"/>
      <c r="E18" s="6"/>
      <c r="F18" s="6"/>
      <c r="G18" s="6"/>
    </row>
    <row r="19" customFormat="false" ht="15" hidden="false" customHeight="false" outlineLevel="0" collapsed="false">
      <c r="A19" s="6"/>
      <c r="B19" s="7" t="s">
        <v>185</v>
      </c>
      <c r="C19" s="33" t="n">
        <f aca="false">C11+C17</f>
        <v>12875</v>
      </c>
      <c r="D19" s="33" t="n">
        <f aca="false">D11+D17</f>
        <v>9908</v>
      </c>
      <c r="E19" s="33" t="n">
        <f aca="false">E11+E17</f>
        <v>8022</v>
      </c>
      <c r="F19" s="33" t="n">
        <f aca="false">F11+F17</f>
        <v>6826</v>
      </c>
      <c r="G19" s="33" t="n">
        <f aca="false">G11+G17</f>
        <v>6075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186</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7"/>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25" t="s">
        <v>178</v>
      </c>
      <c r="C6" s="29" t="n">
        <f aca="false">COLUMN()-2</f>
        <v>1</v>
      </c>
      <c r="D6" s="29" t="n">
        <f aca="false">COLUMN()-2</f>
        <v>2</v>
      </c>
      <c r="E6" s="29" t="n">
        <f aca="false">COLUMN()-2</f>
        <v>3</v>
      </c>
      <c r="F6" s="29" t="n">
        <f aca="false">COLUMN()-2</f>
        <v>4</v>
      </c>
      <c r="G6" s="29" t="n">
        <f aca="false">COLUMN()-2</f>
        <v>5</v>
      </c>
    </row>
    <row r="7" customFormat="false" ht="15" hidden="false" customHeight="false" outlineLevel="0" collapsed="false">
      <c r="A7" s="6"/>
      <c r="B7" s="9" t="s">
        <v>187</v>
      </c>
      <c r="C7" s="10"/>
      <c r="D7" s="10"/>
      <c r="E7" s="10"/>
      <c r="F7" s="10"/>
      <c r="G7" s="10"/>
    </row>
    <row r="8" customFormat="false" ht="15" hidden="false" customHeight="false" outlineLevel="0" collapsed="false">
      <c r="A8" s="6"/>
      <c r="B8" s="8" t="s">
        <v>188</v>
      </c>
      <c r="C8" s="34" t="n">
        <f aca="false">Enrolment!C$11*UG_Gross_Tuition*(1+UG_Tuition_Esc)^(C6-1)</f>
        <v>611936000</v>
      </c>
      <c r="D8" s="34" t="n">
        <f aca="false">Enrolment!D$11*UG_Gross_Tuition*(1+UG_Tuition_Esc)^(D6-1)</f>
        <v>481557960</v>
      </c>
      <c r="E8" s="34" t="n">
        <f aca="false">Enrolment!E$11*UG_Gross_Tuition*(1+UG_Tuition_Esc)^(E6-1)</f>
        <v>396263124.4</v>
      </c>
      <c r="F8" s="34" t="n">
        <f aca="false">Enrolment!F$11*UG_Gross_Tuition*(1+UG_Tuition_Esc)^(F6-1)</f>
        <v>341783151.06</v>
      </c>
      <c r="G8" s="34" t="n">
        <f aca="false">Enrolment!G$11*UG_Gross_Tuition*(1+UG_Tuition_Esc)^(G6-1)</f>
        <v>308375907.83428</v>
      </c>
    </row>
    <row r="9" customFormat="false" ht="15" hidden="false" customHeight="false" outlineLevel="0" collapsed="false">
      <c r="A9" s="6"/>
      <c r="B9" s="31" t="s">
        <v>189</v>
      </c>
      <c r="C9" s="34" t="n">
        <f aca="false">-C8*UG_Discount_Rate</f>
        <v>-293729280</v>
      </c>
      <c r="D9" s="34" t="n">
        <f aca="false">-D8*UG_Discount_Rate</f>
        <v>-231147820.8</v>
      </c>
      <c r="E9" s="34" t="n">
        <f aca="false">-E8*UG_Discount_Rate</f>
        <v>-190206299.712</v>
      </c>
      <c r="F9" s="34" t="n">
        <f aca="false">-F8*UG_Discount_Rate</f>
        <v>-164055912.5088</v>
      </c>
      <c r="G9" s="34" t="n">
        <f aca="false">-G8*UG_Discount_Rate</f>
        <v>-148020435.760454</v>
      </c>
    </row>
    <row r="10" customFormat="false" ht="15" hidden="false" customHeight="false" outlineLevel="0" collapsed="false">
      <c r="A10" s="6"/>
      <c r="B10" s="7" t="s">
        <v>190</v>
      </c>
      <c r="C10" s="35" t="n">
        <f aca="false">C8+C9</f>
        <v>318206720</v>
      </c>
      <c r="D10" s="35" t="n">
        <f aca="false">D8+D9</f>
        <v>250410139.2</v>
      </c>
      <c r="E10" s="35" t="n">
        <f aca="false">E8+E9</f>
        <v>206056824.688</v>
      </c>
      <c r="F10" s="35" t="n">
        <f aca="false">F8+F9</f>
        <v>177727238.5512</v>
      </c>
      <c r="G10" s="35" t="n">
        <f aca="false">G8+G9</f>
        <v>160355472.073826</v>
      </c>
    </row>
    <row r="11" customFormat="false" ht="15" hidden="false" customHeight="false" outlineLevel="0" collapsed="false">
      <c r="A11" s="6"/>
      <c r="B11" s="6"/>
      <c r="C11" s="6"/>
      <c r="D11" s="6"/>
      <c r="E11" s="6"/>
      <c r="F11" s="6"/>
      <c r="G11" s="6"/>
    </row>
    <row r="12" customFormat="false" ht="15" hidden="false" customHeight="false" outlineLevel="0" collapsed="false">
      <c r="A12" s="6"/>
      <c r="B12" s="9" t="s">
        <v>191</v>
      </c>
      <c r="C12" s="10"/>
      <c r="D12" s="10"/>
      <c r="E12" s="10"/>
      <c r="F12" s="10"/>
      <c r="G12" s="10"/>
    </row>
    <row r="13" customFormat="false" ht="15" hidden="false" customHeight="false" outlineLevel="0" collapsed="false">
      <c r="A13" s="6"/>
      <c r="B13" s="8" t="s">
        <v>188</v>
      </c>
      <c r="C13" s="34" t="n">
        <f aca="false">Enrolment!C$17*PG_Gross_Tuition*(1+PG_Tuition_Esc)^(C6-1)</f>
        <v>46494000</v>
      </c>
      <c r="D13" s="34" t="n">
        <f aca="false">Enrolment!D$17*PG_Gross_Tuition*(1+PG_Tuition_Esc)^(D6-1)</f>
        <v>39669420</v>
      </c>
      <c r="E13" s="34" t="n">
        <f aca="false">Enrolment!E$17*PG_Gross_Tuition*(1+PG_Tuition_Esc)^(E6-1)</f>
        <v>37383994.2</v>
      </c>
      <c r="F13" s="34" t="n">
        <f aca="false">Enrolment!F$17*PG_Gross_Tuition*(1+PG_Tuition_Esc)^(F6-1)</f>
        <v>37220467.074</v>
      </c>
      <c r="G13" s="34" t="n">
        <f aca="false">Enrolment!G$17*PG_Gross_Tuition*(1+PG_Tuition_Esc)^(G6-1)</f>
        <v>38100724.23612</v>
      </c>
    </row>
    <row r="14" customFormat="false" ht="15" hidden="false" customHeight="false" outlineLevel="0" collapsed="false">
      <c r="A14" s="6"/>
      <c r="B14" s="31" t="s">
        <v>189</v>
      </c>
      <c r="C14" s="34" t="n">
        <f aca="false">-C13*PG_Discount_Rate</f>
        <v>-13948200</v>
      </c>
      <c r="D14" s="34" t="n">
        <f aca="false">-D13*PG_Discount_Rate</f>
        <v>-11900826</v>
      </c>
      <c r="E14" s="34" t="n">
        <f aca="false">-E13*PG_Discount_Rate</f>
        <v>-11215198.26</v>
      </c>
      <c r="F14" s="34" t="n">
        <f aca="false">-F13*PG_Discount_Rate</f>
        <v>-11166140.1222</v>
      </c>
      <c r="G14" s="34" t="n">
        <f aca="false">-G13*PG_Discount_Rate</f>
        <v>-11430217.270836</v>
      </c>
    </row>
    <row r="15" customFormat="false" ht="15" hidden="false" customHeight="false" outlineLevel="0" collapsed="false">
      <c r="A15" s="6"/>
      <c r="B15" s="7" t="s">
        <v>192</v>
      </c>
      <c r="C15" s="35" t="n">
        <f aca="false">C13+C14</f>
        <v>32545800</v>
      </c>
      <c r="D15" s="35" t="n">
        <f aca="false">D13+D14</f>
        <v>27768594</v>
      </c>
      <c r="E15" s="35" t="n">
        <f aca="false">E13+E14</f>
        <v>26168795.94</v>
      </c>
      <c r="F15" s="35" t="n">
        <f aca="false">F13+F14</f>
        <v>26054326.9518</v>
      </c>
      <c r="G15" s="35" t="n">
        <f aca="false">G13+G14</f>
        <v>26670506.965284</v>
      </c>
    </row>
    <row r="16" customFormat="false" ht="15" hidden="false" customHeight="false" outlineLevel="0" collapsed="false">
      <c r="A16" s="6"/>
      <c r="B16" s="6"/>
      <c r="C16" s="6"/>
      <c r="D16" s="6"/>
      <c r="E16" s="6"/>
      <c r="F16" s="6"/>
      <c r="G16" s="6"/>
    </row>
    <row r="17" customFormat="false" ht="15" hidden="false" customHeight="false" outlineLevel="0" collapsed="false">
      <c r="A17" s="6"/>
      <c r="B17" s="7" t="s">
        <v>193</v>
      </c>
      <c r="C17" s="36" t="n">
        <f aca="false">C10+C15</f>
        <v>350752520</v>
      </c>
      <c r="D17" s="36" t="n">
        <f aca="false">D10+D15</f>
        <v>278178733.2</v>
      </c>
      <c r="E17" s="36" t="n">
        <f aca="false">E10+E15</f>
        <v>232225620.628</v>
      </c>
      <c r="F17" s="36" t="n">
        <f aca="false">F10+F15</f>
        <v>203781565.503</v>
      </c>
      <c r="G17" s="36" t="n">
        <f aca="false">G10+G15</f>
        <v>187025979.03911</v>
      </c>
    </row>
    <row r="18" customFormat="false" ht="15" hidden="false" customHeight="false" outlineLevel="0" collapsed="false">
      <c r="A18" s="6"/>
      <c r="B18" s="6"/>
      <c r="C18" s="6"/>
      <c r="D18" s="6"/>
      <c r="E18" s="6"/>
      <c r="F18" s="6"/>
      <c r="G18" s="6"/>
    </row>
    <row r="19" customFormat="false" ht="15" hidden="false" customHeight="false" outlineLevel="0" collapsed="false">
      <c r="A19" s="6"/>
      <c r="B19" s="9" t="s">
        <v>91</v>
      </c>
      <c r="C19" s="10"/>
      <c r="D19" s="10"/>
      <c r="E19" s="10"/>
      <c r="F19" s="10"/>
      <c r="G19" s="10"/>
    </row>
    <row r="20" customFormat="false" ht="15" hidden="false" customHeight="false" outlineLevel="0" collapsed="false">
      <c r="A20" s="6"/>
      <c r="B20" s="31" t="s">
        <v>194</v>
      </c>
      <c r="C20" s="34" t="n">
        <f aca="false">Grant_Base*(1+Grant_Growth)^(C6-1)</f>
        <v>18000000</v>
      </c>
      <c r="D20" s="34" t="n">
        <f aca="false">Grant_Base*(1+Grant_Growth)^(D6-1)</f>
        <v>18360000</v>
      </c>
      <c r="E20" s="34" t="n">
        <f aca="false">Grant_Base*(1+Grant_Growth)^(E6-1)</f>
        <v>18727200</v>
      </c>
      <c r="F20" s="34" t="n">
        <f aca="false">Grant_Base*(1+Grant_Growth)^(F6-1)</f>
        <v>19101744</v>
      </c>
      <c r="G20" s="34" t="n">
        <f aca="false">Grant_Base*(1+Grant_Growth)^(G6-1)</f>
        <v>19483778.88</v>
      </c>
    </row>
    <row r="21" customFormat="false" ht="15" hidden="false" customHeight="false" outlineLevel="0" collapsed="false">
      <c r="A21" s="6"/>
      <c r="B21" s="31" t="s">
        <v>195</v>
      </c>
      <c r="C21" s="34" t="n">
        <f aca="false">Enrolment!C$19*Aux_Per_Student*(1+Aux_Growth)^(C6-1)</f>
        <v>109437500</v>
      </c>
      <c r="D21" s="34" t="n">
        <f aca="false">Enrolment!D$19*Aux_Per_Student*(1+Aux_Growth)^(D6-1)</f>
        <v>86323450</v>
      </c>
      <c r="E21" s="34" t="n">
        <f aca="false">Enrolment!E$19*Aux_Per_Student*(1+Aux_Growth)^(E6-1)</f>
        <v>71638966.875</v>
      </c>
      <c r="F21" s="34" t="n">
        <f aca="false">Enrolment!F$19*Aux_Per_Student*(1+Aux_Growth)^(F6-1)</f>
        <v>62482270.953125</v>
      </c>
      <c r="G21" s="34" t="n">
        <f aca="false">Enrolment!G$19*Aux_Per_Student*(1+Aux_Growth)^(G6-1)</f>
        <v>56998138.1396484</v>
      </c>
    </row>
    <row r="22" customFormat="false" ht="15" hidden="false" customHeight="false" outlineLevel="0" collapsed="false">
      <c r="A22" s="6"/>
      <c r="B22" s="31" t="s">
        <v>196</v>
      </c>
      <c r="C22" s="34" t="n">
        <f aca="false">Endowment!C$8*Endow_Spend_Rate</f>
        <v>11250000</v>
      </c>
      <c r="D22" s="34" t="n">
        <f aca="false">Endowment!D$8*Endow_Spend_Rate</f>
        <v>11756250</v>
      </c>
      <c r="E22" s="34" t="n">
        <f aca="false">Endowment!E$8*Endow_Spend_Rate</f>
        <v>12275156.25</v>
      </c>
      <c r="F22" s="34" t="n">
        <f aca="false">Endowment!F$8*Endow_Spend_Rate</f>
        <v>12807035.15625</v>
      </c>
      <c r="G22" s="34" t="n">
        <f aca="false">Endowment!G$8*Endow_Spend_Rate</f>
        <v>13352211.0351563</v>
      </c>
    </row>
    <row r="23" customFormat="false" ht="15" hidden="false" customHeight="false" outlineLevel="0" collapsed="false">
      <c r="A23" s="6"/>
      <c r="B23" s="7" t="s">
        <v>197</v>
      </c>
      <c r="C23" s="35" t="n">
        <f aca="false">C20+C21+C22</f>
        <v>138687500</v>
      </c>
      <c r="D23" s="35" t="n">
        <f aca="false">D20+D21+D22</f>
        <v>116439700</v>
      </c>
      <c r="E23" s="35" t="n">
        <f aca="false">E20+E21+E22</f>
        <v>102641323.125</v>
      </c>
      <c r="F23" s="35" t="n">
        <f aca="false">F20+F21+F22</f>
        <v>94391050.109375</v>
      </c>
      <c r="G23" s="35" t="n">
        <f aca="false">G20+G21+G22</f>
        <v>89834128.0548047</v>
      </c>
    </row>
    <row r="24" customFormat="false" ht="15" hidden="false" customHeight="false" outlineLevel="0" collapsed="false">
      <c r="A24" s="6"/>
      <c r="B24" s="6"/>
      <c r="C24" s="6"/>
      <c r="D24" s="6"/>
      <c r="E24" s="6"/>
      <c r="F24" s="6"/>
      <c r="G24" s="6"/>
    </row>
    <row r="25" customFormat="false" ht="15" hidden="false" customHeight="false" outlineLevel="0" collapsed="false">
      <c r="A25" s="6"/>
      <c r="B25" s="7" t="s">
        <v>198</v>
      </c>
      <c r="C25" s="36" t="n">
        <f aca="false">C17+C23</f>
        <v>489440020</v>
      </c>
      <c r="D25" s="36" t="n">
        <f aca="false">D17+D23</f>
        <v>394618433.2</v>
      </c>
      <c r="E25" s="36" t="n">
        <f aca="false">E17+E23</f>
        <v>334866943.753</v>
      </c>
      <c r="F25" s="36" t="n">
        <f aca="false">F17+F23</f>
        <v>298172615.612375</v>
      </c>
      <c r="G25" s="36" t="n">
        <f aca="false">G17+G23</f>
        <v>276860107.093914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122</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7"/>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25" t="s">
        <v>178</v>
      </c>
      <c r="C6" s="29" t="n">
        <f aca="false">COLUMN()-2</f>
        <v>1</v>
      </c>
      <c r="D6" s="29" t="n">
        <f aca="false">COLUMN()-2</f>
        <v>2</v>
      </c>
      <c r="E6" s="29" t="n">
        <f aca="false">COLUMN()-2</f>
        <v>3</v>
      </c>
      <c r="F6" s="29" t="n">
        <f aca="false">COLUMN()-2</f>
        <v>4</v>
      </c>
      <c r="G6" s="29" t="n">
        <f aca="false">COLUMN()-2</f>
        <v>5</v>
      </c>
    </row>
    <row r="7" customFormat="false" ht="15" hidden="false" customHeight="false" outlineLevel="0" collapsed="false">
      <c r="A7" s="6"/>
      <c r="B7" s="9" t="s">
        <v>199</v>
      </c>
      <c r="C7" s="10"/>
      <c r="D7" s="10"/>
      <c r="E7" s="10"/>
      <c r="F7" s="10"/>
      <c r="G7" s="10"/>
    </row>
    <row r="8" customFormat="false" ht="15" hidden="false" customHeight="false" outlineLevel="0" collapsed="false">
      <c r="A8" s="6"/>
      <c r="B8" s="8" t="s">
        <v>200</v>
      </c>
      <c r="C8" s="30" t="n">
        <f aca="false">ROUNDUP(Enrolment!C$19/Stu_Faculty_Ratio,0)</f>
        <v>920</v>
      </c>
      <c r="D8" s="30" t="n">
        <f aca="false">ROUNDUP(Enrolment!D$19/Stu_Faculty_Ratio,0)</f>
        <v>708</v>
      </c>
      <c r="E8" s="30" t="n">
        <f aca="false">ROUNDUP(Enrolment!E$19/Stu_Faculty_Ratio,0)</f>
        <v>573</v>
      </c>
      <c r="F8" s="30" t="n">
        <f aca="false">ROUNDUP(Enrolment!F$19/Stu_Faculty_Ratio,0)</f>
        <v>488</v>
      </c>
      <c r="G8" s="30" t="n">
        <f aca="false">ROUNDUP(Enrolment!G$19/Stu_Faculty_Ratio,0)</f>
        <v>434</v>
      </c>
    </row>
    <row r="9" customFormat="false" ht="15" hidden="false" customHeight="false" outlineLevel="0" collapsed="false">
      <c r="A9" s="6"/>
      <c r="B9" s="31" t="s">
        <v>201</v>
      </c>
      <c r="C9" s="34" t="n">
        <f aca="false">C8*Avg_Faculty_Sal*(1+Faculty_Sal_Esc)^(C6-1)</f>
        <v>87400000</v>
      </c>
      <c r="D9" s="34" t="n">
        <f aca="false">D8*Avg_Faculty_Sal*(1+Faculty_Sal_Esc)^(D6-1)</f>
        <v>69277800</v>
      </c>
      <c r="E9" s="34" t="n">
        <f aca="false">E8*Avg_Faculty_Sal*(1+Faculty_Sal_Esc)^(E6-1)</f>
        <v>57750091.5</v>
      </c>
      <c r="F9" s="34" t="n">
        <f aca="false">F8*Avg_Faculty_Sal*(1+Faculty_Sal_Esc)^(F6-1)</f>
        <v>50658823.72</v>
      </c>
      <c r="G9" s="34" t="n">
        <f aca="false">G8*Avg_Faculty_Sal*(1+Faculty_Sal_Esc)^(G6-1)</f>
        <v>46404728.2363</v>
      </c>
    </row>
    <row r="10" customFormat="false" ht="15" hidden="false" customHeight="false" outlineLevel="0" collapsed="false">
      <c r="A10" s="6"/>
      <c r="B10" s="31" t="s">
        <v>202</v>
      </c>
      <c r="C10" s="34" t="n">
        <f aca="false">C9*Benefits_Rate</f>
        <v>24472000</v>
      </c>
      <c r="D10" s="34" t="n">
        <f aca="false">D9*Benefits_Rate</f>
        <v>19397784</v>
      </c>
      <c r="E10" s="34" t="n">
        <f aca="false">E9*Benefits_Rate</f>
        <v>16170025.62</v>
      </c>
      <c r="F10" s="34" t="n">
        <f aca="false">F9*Benefits_Rate</f>
        <v>14184470.6416</v>
      </c>
      <c r="G10" s="34" t="n">
        <f aca="false">G9*Benefits_Rate</f>
        <v>12993323.906164</v>
      </c>
    </row>
    <row r="11" customFormat="false" ht="15" hidden="false" customHeight="false" outlineLevel="0" collapsed="false">
      <c r="A11" s="6"/>
      <c r="B11" s="7" t="s">
        <v>203</v>
      </c>
      <c r="C11" s="35" t="n">
        <f aca="false">C9+C10</f>
        <v>111872000</v>
      </c>
      <c r="D11" s="35" t="n">
        <f aca="false">D9+D10</f>
        <v>88675584</v>
      </c>
      <c r="E11" s="35" t="n">
        <f aca="false">E9+E10</f>
        <v>73920117.12</v>
      </c>
      <c r="F11" s="35" t="n">
        <f aca="false">F9+F10</f>
        <v>64843294.3616</v>
      </c>
      <c r="G11" s="35" t="n">
        <f aca="false">G9+G10</f>
        <v>59398052.142464</v>
      </c>
    </row>
    <row r="12" customFormat="false" ht="15" hidden="false" customHeight="false" outlineLevel="0" collapsed="false">
      <c r="A12" s="6"/>
      <c r="B12" s="6"/>
      <c r="C12" s="6"/>
      <c r="D12" s="6"/>
      <c r="E12" s="6"/>
      <c r="F12" s="6"/>
      <c r="G12" s="6"/>
    </row>
    <row r="13" customFormat="false" ht="15" hidden="false" customHeight="false" outlineLevel="0" collapsed="false">
      <c r="A13" s="6"/>
      <c r="B13" s="9" t="s">
        <v>204</v>
      </c>
      <c r="C13" s="10"/>
      <c r="D13" s="10"/>
      <c r="E13" s="10"/>
      <c r="F13" s="10"/>
      <c r="G13" s="10"/>
    </row>
    <row r="14" customFormat="false" ht="15" hidden="false" customHeight="false" outlineLevel="0" collapsed="false">
      <c r="A14" s="6"/>
      <c r="B14" s="31" t="s">
        <v>205</v>
      </c>
      <c r="C14" s="34" t="n">
        <f aca="false">Admin_HC_Base*Avg_Admin_Sal*(1+Admin_Sal_Esc)^(C6-1)</f>
        <v>19250000</v>
      </c>
      <c r="D14" s="34" t="n">
        <f aca="false">Admin_HC_Base*Avg_Admin_Sal*(1+Admin_Sal_Esc)^(D6-1)</f>
        <v>19731250</v>
      </c>
      <c r="E14" s="34" t="n">
        <f aca="false">Admin_HC_Base*Avg_Admin_Sal*(1+Admin_Sal_Esc)^(E6-1)</f>
        <v>20224531.25</v>
      </c>
      <c r="F14" s="34" t="n">
        <f aca="false">Admin_HC_Base*Avg_Admin_Sal*(1+Admin_Sal_Esc)^(F6-1)</f>
        <v>20730144.53125</v>
      </c>
      <c r="G14" s="34" t="n">
        <f aca="false">Admin_HC_Base*Avg_Admin_Sal*(1+Admin_Sal_Esc)^(G6-1)</f>
        <v>21248398.1445312</v>
      </c>
    </row>
    <row r="15" customFormat="false" ht="15" hidden="false" customHeight="false" outlineLevel="0" collapsed="false">
      <c r="A15" s="6"/>
      <c r="B15" s="31" t="s">
        <v>206</v>
      </c>
      <c r="C15" s="34" t="n">
        <f aca="false">C14*Benefits_Rate</f>
        <v>5390000</v>
      </c>
      <c r="D15" s="34" t="n">
        <f aca="false">D14*Benefits_Rate</f>
        <v>5524750</v>
      </c>
      <c r="E15" s="34" t="n">
        <f aca="false">E14*Benefits_Rate</f>
        <v>5662868.75</v>
      </c>
      <c r="F15" s="34" t="n">
        <f aca="false">F14*Benefits_Rate</f>
        <v>5804440.46875</v>
      </c>
      <c r="G15" s="34" t="n">
        <f aca="false">G14*Benefits_Rate</f>
        <v>5949551.48046875</v>
      </c>
    </row>
    <row r="16" customFormat="false" ht="15" hidden="false" customHeight="false" outlineLevel="0" collapsed="false">
      <c r="A16" s="6"/>
      <c r="B16" s="7" t="s">
        <v>207</v>
      </c>
      <c r="C16" s="35" t="n">
        <f aca="false">C14+C15</f>
        <v>24640000</v>
      </c>
      <c r="D16" s="35" t="n">
        <f aca="false">D14+D15</f>
        <v>25256000</v>
      </c>
      <c r="E16" s="35" t="n">
        <f aca="false">E14+E15</f>
        <v>25887400</v>
      </c>
      <c r="F16" s="35" t="n">
        <f aca="false">F14+F15</f>
        <v>26534585</v>
      </c>
      <c r="G16" s="35" t="n">
        <f aca="false">G14+G15</f>
        <v>27197949.625</v>
      </c>
    </row>
    <row r="17" customFormat="false" ht="15" hidden="false" customHeight="false" outlineLevel="0" collapsed="false">
      <c r="A17" s="6"/>
      <c r="B17" s="6"/>
      <c r="C17" s="6"/>
      <c r="D17" s="6"/>
      <c r="E17" s="6"/>
      <c r="F17" s="6"/>
      <c r="G17" s="6"/>
    </row>
    <row r="18" customFormat="false" ht="15" hidden="false" customHeight="false" outlineLevel="0" collapsed="false">
      <c r="A18" s="6"/>
      <c r="B18" s="7" t="s">
        <v>208</v>
      </c>
      <c r="C18" s="36" t="n">
        <f aca="false">C11+C16</f>
        <v>136512000</v>
      </c>
      <c r="D18" s="36" t="n">
        <f aca="false">D11+D16</f>
        <v>113931584</v>
      </c>
      <c r="E18" s="36" t="n">
        <f aca="false">E11+E16</f>
        <v>99807517.12</v>
      </c>
      <c r="F18" s="36" t="n">
        <f aca="false">F11+F16</f>
        <v>91377879.3616</v>
      </c>
      <c r="G18" s="36" t="n">
        <f aca="false">G11+G16</f>
        <v>86596001.767464</v>
      </c>
    </row>
    <row r="19" customFormat="false" ht="15" hidden="false" customHeight="false" outlineLevel="0" collapsed="false">
      <c r="A19" s="6"/>
      <c r="B19" s="6"/>
      <c r="C19" s="6"/>
      <c r="D19" s="6"/>
      <c r="E19" s="6"/>
      <c r="F19" s="6"/>
      <c r="G19" s="6"/>
    </row>
    <row r="20" customFormat="false" ht="15" hidden="false" customHeight="false" outlineLevel="0" collapsed="false">
      <c r="A20" s="6"/>
      <c r="B20" s="9" t="s">
        <v>209</v>
      </c>
      <c r="C20" s="10"/>
      <c r="D20" s="10"/>
      <c r="E20" s="10"/>
      <c r="F20" s="10"/>
      <c r="G20" s="10"/>
    </row>
    <row r="21" customFormat="false" ht="15" hidden="false" customHeight="false" outlineLevel="0" collapsed="false">
      <c r="A21" s="6"/>
      <c r="B21" s="31" t="s">
        <v>210</v>
      </c>
      <c r="C21" s="34" t="n">
        <f aca="false">Revenue!C$25*Facilities_Pct</f>
        <v>48944002</v>
      </c>
      <c r="D21" s="34" t="n">
        <f aca="false">Revenue!D$25*Facilities_Pct</f>
        <v>39461843.32</v>
      </c>
      <c r="E21" s="34" t="n">
        <f aca="false">Revenue!E$25*Facilities_Pct</f>
        <v>33486694.3753</v>
      </c>
      <c r="F21" s="34" t="n">
        <f aca="false">Revenue!F$25*Facilities_Pct</f>
        <v>29817261.5612375</v>
      </c>
      <c r="G21" s="34" t="n">
        <f aca="false">Revenue!G$25*Facilities_Pct</f>
        <v>27686010.7093914</v>
      </c>
    </row>
    <row r="22" customFormat="false" ht="15" hidden="false" customHeight="false" outlineLevel="0" collapsed="false">
      <c r="A22" s="6"/>
      <c r="B22" s="31" t="s">
        <v>125</v>
      </c>
      <c r="C22" s="34" t="n">
        <f aca="false">Revenue!C$25*Student_Svc_Pct</f>
        <v>19577600.8</v>
      </c>
      <c r="D22" s="34" t="n">
        <f aca="false">Revenue!D$25*Student_Svc_Pct</f>
        <v>15784737.328</v>
      </c>
      <c r="E22" s="34" t="n">
        <f aca="false">Revenue!E$25*Student_Svc_Pct</f>
        <v>13394677.75012</v>
      </c>
      <c r="F22" s="34" t="n">
        <f aca="false">Revenue!F$25*Student_Svc_Pct</f>
        <v>11926904.624495</v>
      </c>
      <c r="G22" s="34" t="n">
        <f aca="false">Revenue!G$25*Student_Svc_Pct</f>
        <v>11074404.2837566</v>
      </c>
    </row>
    <row r="23" customFormat="false" ht="15" hidden="false" customHeight="false" outlineLevel="0" collapsed="false">
      <c r="A23" s="6"/>
      <c r="B23" s="31" t="s">
        <v>126</v>
      </c>
      <c r="C23" s="34" t="n">
        <f aca="false">Revenue!C$25*Mktg_Pct</f>
        <v>17130400.7</v>
      </c>
      <c r="D23" s="34" t="n">
        <f aca="false">Revenue!D$25*Mktg_Pct</f>
        <v>13811645.162</v>
      </c>
      <c r="E23" s="34" t="n">
        <f aca="false">Revenue!E$25*Mktg_Pct</f>
        <v>11720343.031355</v>
      </c>
      <c r="F23" s="34" t="n">
        <f aca="false">Revenue!F$25*Mktg_Pct</f>
        <v>10436041.5464331</v>
      </c>
      <c r="G23" s="34" t="n">
        <f aca="false">Revenue!G$25*Mktg_Pct</f>
        <v>9690103.748287</v>
      </c>
    </row>
    <row r="24" customFormat="false" ht="15" hidden="false" customHeight="false" outlineLevel="0" collapsed="false">
      <c r="A24" s="6"/>
      <c r="B24" s="31" t="s">
        <v>127</v>
      </c>
      <c r="C24" s="34" t="n">
        <f aca="false">Revenue!C$25*IT_Pct</f>
        <v>19577600.8</v>
      </c>
      <c r="D24" s="34" t="n">
        <f aca="false">Revenue!D$25*IT_Pct</f>
        <v>15784737.328</v>
      </c>
      <c r="E24" s="34" t="n">
        <f aca="false">Revenue!E$25*IT_Pct</f>
        <v>13394677.75012</v>
      </c>
      <c r="F24" s="34" t="n">
        <f aca="false">Revenue!F$25*IT_Pct</f>
        <v>11926904.624495</v>
      </c>
      <c r="G24" s="34" t="n">
        <f aca="false">Revenue!G$25*IT_Pct</f>
        <v>11074404.2837566</v>
      </c>
    </row>
    <row r="25" customFormat="false" ht="15" hidden="false" customHeight="false" outlineLevel="0" collapsed="false">
      <c r="A25" s="6"/>
      <c r="B25" s="31" t="s">
        <v>211</v>
      </c>
      <c r="C25" s="34" t="n">
        <f aca="false">Insurance_Base*(1+Insurance_Esc)^(C6-1)</f>
        <v>3000000</v>
      </c>
      <c r="D25" s="34" t="n">
        <f aca="false">Insurance_Base*(1+Insurance_Esc)^(D6-1)</f>
        <v>3090000</v>
      </c>
      <c r="E25" s="34" t="n">
        <f aca="false">Insurance_Base*(1+Insurance_Esc)^(E6-1)</f>
        <v>3182700</v>
      </c>
      <c r="F25" s="34" t="n">
        <f aca="false">Insurance_Base*(1+Insurance_Esc)^(F6-1)</f>
        <v>3278181</v>
      </c>
      <c r="G25" s="34" t="n">
        <f aca="false">Insurance_Base*(1+Insurance_Esc)^(G6-1)</f>
        <v>3376526.43</v>
      </c>
    </row>
    <row r="26" customFormat="false" ht="15" hidden="false" customHeight="false" outlineLevel="0" collapsed="false">
      <c r="A26" s="6"/>
      <c r="B26" s="31" t="s">
        <v>212</v>
      </c>
      <c r="C26" s="34" t="n">
        <f aca="false">Utilities_Base*(1+Utilities_Esc)^(C6-1)</f>
        <v>4500000</v>
      </c>
      <c r="D26" s="34" t="n">
        <f aca="false">Utilities_Base*(1+Utilities_Esc)^(D6-1)</f>
        <v>4635000</v>
      </c>
      <c r="E26" s="34" t="n">
        <f aca="false">Utilities_Base*(1+Utilities_Esc)^(E6-1)</f>
        <v>4774050</v>
      </c>
      <c r="F26" s="34" t="n">
        <f aca="false">Utilities_Base*(1+Utilities_Esc)^(F6-1)</f>
        <v>4917271.5</v>
      </c>
      <c r="G26" s="34" t="n">
        <f aca="false">Utilities_Base*(1+Utilities_Esc)^(G6-1)</f>
        <v>5064789.645</v>
      </c>
    </row>
    <row r="27" customFormat="false" ht="15" hidden="false" customHeight="false" outlineLevel="0" collapsed="false">
      <c r="A27" s="6"/>
      <c r="B27" s="31" t="s">
        <v>134</v>
      </c>
      <c r="C27" s="34" t="n">
        <f aca="false">Revenue!C$25*Supplies_Pct</f>
        <v>12236000.5</v>
      </c>
      <c r="D27" s="34" t="n">
        <f aca="false">Revenue!D$25*Supplies_Pct</f>
        <v>9865460.83</v>
      </c>
      <c r="E27" s="34" t="n">
        <f aca="false">Revenue!E$25*Supplies_Pct</f>
        <v>8371673.593825</v>
      </c>
      <c r="F27" s="34" t="n">
        <f aca="false">Revenue!F$25*Supplies_Pct</f>
        <v>7454315.39030938</v>
      </c>
      <c r="G27" s="34" t="n">
        <f aca="false">Revenue!G$25*Supplies_Pct</f>
        <v>6921502.67734786</v>
      </c>
    </row>
    <row r="28" customFormat="false" ht="15" hidden="false" customHeight="false" outlineLevel="0" collapsed="false">
      <c r="A28" s="6"/>
      <c r="B28" s="7" t="s">
        <v>213</v>
      </c>
      <c r="C28" s="35" t="n">
        <f aca="false">SUM(C21:C27)</f>
        <v>124965604.8</v>
      </c>
      <c r="D28" s="35" t="n">
        <f aca="false">SUM(D21:D27)</f>
        <v>102433423.968</v>
      </c>
      <c r="E28" s="35" t="n">
        <f aca="false">SUM(E21:E27)</f>
        <v>88324816.50072</v>
      </c>
      <c r="F28" s="35" t="n">
        <f aca="false">SUM(F21:F27)</f>
        <v>79756880.24697</v>
      </c>
      <c r="G28" s="35" t="n">
        <f aca="false">SUM(G21:G27)</f>
        <v>74887741.7775395</v>
      </c>
    </row>
    <row r="29" customFormat="false" ht="15" hidden="false" customHeight="false" outlineLevel="0" collapsed="false">
      <c r="A29" s="6"/>
      <c r="B29" s="6"/>
      <c r="C29" s="6"/>
      <c r="D29" s="6"/>
      <c r="E29" s="6"/>
      <c r="F29" s="6"/>
      <c r="G29" s="6"/>
    </row>
    <row r="30" customFormat="false" ht="15" hidden="false" customHeight="false" outlineLevel="0" collapsed="false">
      <c r="A30" s="6"/>
      <c r="B30" s="7" t="s">
        <v>214</v>
      </c>
      <c r="C30" s="36" t="n">
        <f aca="false">C18+C28</f>
        <v>261477604.8</v>
      </c>
      <c r="D30" s="36" t="n">
        <f aca="false">D18+D28</f>
        <v>216365007.968</v>
      </c>
      <c r="E30" s="36" t="n">
        <f aca="false">E18+E28</f>
        <v>188132333.62072</v>
      </c>
      <c r="F30" s="36" t="n">
        <f aca="false">F18+F28</f>
        <v>171134759.60857</v>
      </c>
      <c r="G30" s="36" t="n">
        <f aca="false">G18+G28</f>
        <v>161483743.545003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135</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215</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7"/>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25" t="s">
        <v>178</v>
      </c>
      <c r="C6" s="29" t="n">
        <f aca="false">COLUMN()-2</f>
        <v>1</v>
      </c>
      <c r="D6" s="29" t="n">
        <f aca="false">COLUMN()-2</f>
        <v>2</v>
      </c>
      <c r="E6" s="29" t="n">
        <f aca="false">COLUMN()-2</f>
        <v>3</v>
      </c>
      <c r="F6" s="29" t="n">
        <f aca="false">COLUMN()-2</f>
        <v>4</v>
      </c>
      <c r="G6" s="29" t="n">
        <f aca="false">COLUMN()-2</f>
        <v>5</v>
      </c>
    </row>
    <row r="7" customFormat="false" ht="15" hidden="false" customHeight="false" outlineLevel="0" collapsed="false">
      <c r="A7" s="6"/>
      <c r="B7" s="9" t="s">
        <v>216</v>
      </c>
      <c r="C7" s="10"/>
      <c r="D7" s="10"/>
      <c r="E7" s="10"/>
      <c r="F7" s="10"/>
      <c r="G7" s="10"/>
    </row>
    <row r="8" customFormat="false" ht="15" hidden="false" customHeight="false" outlineLevel="0" collapsed="false">
      <c r="A8" s="6"/>
      <c r="B8" s="8" t="s">
        <v>217</v>
      </c>
      <c r="C8" s="34" t="n">
        <f aca="false">Open_PPE_Gross</f>
        <v>500000000</v>
      </c>
      <c r="D8" s="34" t="n">
        <f aca="false">C12</f>
        <v>539472001</v>
      </c>
      <c r="E8" s="34" t="n">
        <f aca="false">D12</f>
        <v>579202922.66</v>
      </c>
      <c r="F8" s="34" t="n">
        <f aca="false">E12</f>
        <v>605946269.84765</v>
      </c>
      <c r="G8" s="34" t="n">
        <f aca="false">F12</f>
        <v>625854900.628269</v>
      </c>
    </row>
    <row r="9" customFormat="false" ht="15" hidden="false" customHeight="false" outlineLevel="0" collapsed="false">
      <c r="A9" s="6"/>
      <c r="B9" s="31" t="s">
        <v>218</v>
      </c>
      <c r="C9" s="34" t="n">
        <f aca="false">Revenue!C$25*Maint_Capex_Pct</f>
        <v>24472001</v>
      </c>
      <c r="D9" s="34" t="n">
        <f aca="false">Revenue!D$25*Maint_Capex_Pct</f>
        <v>19730921.66</v>
      </c>
      <c r="E9" s="34" t="n">
        <f aca="false">Revenue!E$25*Maint_Capex_Pct</f>
        <v>16743347.18765</v>
      </c>
      <c r="F9" s="34" t="n">
        <f aca="false">Revenue!F$25*Maint_Capex_Pct</f>
        <v>14908630.7806188</v>
      </c>
      <c r="G9" s="34" t="n">
        <f aca="false">Revenue!G$25*Maint_Capex_Pct</f>
        <v>13843005.3546957</v>
      </c>
    </row>
    <row r="10" customFormat="false" ht="15" hidden="false" customHeight="false" outlineLevel="0" collapsed="false">
      <c r="A10" s="6"/>
      <c r="B10" s="31" t="s">
        <v>219</v>
      </c>
      <c r="C10" s="34" t="n">
        <f aca="false">CHOOSE(C6,Growth_Capex_Y1,Growth_Capex_Y2,Growth_Capex_Y3,Growth_Capex_Y4,Growth_Capex_Y5)</f>
        <v>15000000</v>
      </c>
      <c r="D10" s="34" t="n">
        <f aca="false">CHOOSE(D6,Growth_Capex_Y1,Growth_Capex_Y2,Growth_Capex_Y3,Growth_Capex_Y4,Growth_Capex_Y5)</f>
        <v>20000000</v>
      </c>
      <c r="E10" s="34" t="n">
        <f aca="false">CHOOSE(E6,Growth_Capex_Y1,Growth_Capex_Y2,Growth_Capex_Y3,Growth_Capex_Y4,Growth_Capex_Y5)</f>
        <v>10000000</v>
      </c>
      <c r="F10" s="34" t="n">
        <f aca="false">CHOOSE(F6,Growth_Capex_Y1,Growth_Capex_Y2,Growth_Capex_Y3,Growth_Capex_Y4,Growth_Capex_Y5)</f>
        <v>5000000</v>
      </c>
      <c r="G10" s="34" t="n">
        <f aca="false">CHOOSE(G6,Growth_Capex_Y1,Growth_Capex_Y2,Growth_Capex_Y3,Growth_Capex_Y4,Growth_Capex_Y5)</f>
        <v>5000000</v>
      </c>
    </row>
    <row r="11" customFormat="false" ht="15" hidden="false" customHeight="false" outlineLevel="0" collapsed="false">
      <c r="A11" s="6"/>
      <c r="B11" s="7" t="s">
        <v>220</v>
      </c>
      <c r="C11" s="35" t="n">
        <f aca="false">C9+C10</f>
        <v>39472001</v>
      </c>
      <c r="D11" s="35" t="n">
        <f aca="false">D9+D10</f>
        <v>39730921.66</v>
      </c>
      <c r="E11" s="35" t="n">
        <f aca="false">E9+E10</f>
        <v>26743347.18765</v>
      </c>
      <c r="F11" s="35" t="n">
        <f aca="false">F9+F10</f>
        <v>19908630.7806188</v>
      </c>
      <c r="G11" s="35" t="n">
        <f aca="false">G9+G10</f>
        <v>18843005.3546957</v>
      </c>
    </row>
    <row r="12" customFormat="false" ht="15" hidden="false" customHeight="false" outlineLevel="0" collapsed="false">
      <c r="A12" s="6"/>
      <c r="B12" s="8" t="s">
        <v>221</v>
      </c>
      <c r="C12" s="34" t="n">
        <f aca="false">C8+C11</f>
        <v>539472001</v>
      </c>
      <c r="D12" s="34" t="n">
        <f aca="false">D8+D11</f>
        <v>579202922.66</v>
      </c>
      <c r="E12" s="34" t="n">
        <f aca="false">E8+E11</f>
        <v>605946269.84765</v>
      </c>
      <c r="F12" s="34" t="n">
        <f aca="false">F8+F11</f>
        <v>625854900.628269</v>
      </c>
      <c r="G12" s="34" t="n">
        <f aca="false">G8+G11</f>
        <v>644697905.982964</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9" t="s">
        <v>222</v>
      </c>
      <c r="C14" s="10"/>
      <c r="D14" s="10"/>
      <c r="E14" s="10"/>
      <c r="F14" s="10"/>
      <c r="G14" s="10"/>
    </row>
    <row r="15" customFormat="false" ht="15" hidden="false" customHeight="false" outlineLevel="0" collapsed="false">
      <c r="A15" s="6"/>
      <c r="B15" s="8" t="s">
        <v>138</v>
      </c>
      <c r="C15" s="34" t="n">
        <f aca="false">Open_Accum_Depr</f>
        <v>200000000</v>
      </c>
      <c r="D15" s="34" t="n">
        <f aca="false">C19</f>
        <v>218640266.716667</v>
      </c>
      <c r="E15" s="34" t="n">
        <f aca="false">D19</f>
        <v>239267079.516333</v>
      </c>
      <c r="F15" s="34" t="n">
        <f aca="false">E19</f>
        <v>261231059.675383</v>
      </c>
      <c r="G15" s="34" t="n">
        <f aca="false">F19</f>
        <v>284190471.373463</v>
      </c>
    </row>
    <row r="16" customFormat="false" ht="15" hidden="false" customHeight="false" outlineLevel="0" collapsed="false">
      <c r="A16" s="6"/>
      <c r="B16" s="31" t="s">
        <v>223</v>
      </c>
      <c r="C16" s="34" t="n">
        <f aca="false">MIN(Open_PPE_Gross/Exist_Useful_Life,C8-C15)</f>
        <v>16666666.6666667</v>
      </c>
      <c r="D16" s="34" t="n">
        <f aca="false">MIN(Open_PPE_Gross/Exist_Useful_Life,D8-D15)</f>
        <v>16666666.6666667</v>
      </c>
      <c r="E16" s="34" t="n">
        <f aca="false">MIN(Open_PPE_Gross/Exist_Useful_Life,E8-E15)</f>
        <v>16666666.6666667</v>
      </c>
      <c r="F16" s="34" t="n">
        <f aca="false">MIN(Open_PPE_Gross/Exist_Useful_Life,F8-F15)</f>
        <v>16666666.6666667</v>
      </c>
      <c r="G16" s="34" t="n">
        <f aca="false">MIN(Open_PPE_Gross/Exist_Useful_Life,G8-G15)</f>
        <v>16666666.6666667</v>
      </c>
    </row>
    <row r="17" customFormat="false" ht="15" hidden="false" customHeight="false" outlineLevel="0" collapsed="false">
      <c r="A17" s="6"/>
      <c r="B17" s="31" t="s">
        <v>224</v>
      </c>
      <c r="C17" s="34" t="n">
        <f aca="false">C11/New_Asset_Life</f>
        <v>1973600.05</v>
      </c>
      <c r="D17" s="34" t="n">
        <f aca="false">(C17*New_Asset_Life+D11)/New_Asset_Life</f>
        <v>3960146.133</v>
      </c>
      <c r="E17" s="34" t="n">
        <f aca="false">(D17*New_Asset_Life+E11)/New_Asset_Life</f>
        <v>5297313.4923825</v>
      </c>
      <c r="F17" s="34" t="n">
        <f aca="false">(E17*New_Asset_Life+F11)/New_Asset_Life</f>
        <v>6292745.03141344</v>
      </c>
      <c r="G17" s="34" t="n">
        <f aca="false">(F17*New_Asset_Life+G11)/New_Asset_Life</f>
        <v>7234895.29914822</v>
      </c>
    </row>
    <row r="18" customFormat="false" ht="15" hidden="false" customHeight="false" outlineLevel="0" collapsed="false">
      <c r="A18" s="6"/>
      <c r="B18" s="7" t="s">
        <v>225</v>
      </c>
      <c r="C18" s="35" t="n">
        <f aca="false">C16+C17</f>
        <v>18640266.7166667</v>
      </c>
      <c r="D18" s="35" t="n">
        <f aca="false">D16+D17</f>
        <v>20626812.7996667</v>
      </c>
      <c r="E18" s="35" t="n">
        <f aca="false">E16+E17</f>
        <v>21963980.1590492</v>
      </c>
      <c r="F18" s="35" t="n">
        <f aca="false">F16+F17</f>
        <v>22959411.6980801</v>
      </c>
      <c r="G18" s="35" t="n">
        <f aca="false">G16+G17</f>
        <v>23901561.9658149</v>
      </c>
    </row>
    <row r="19" customFormat="false" ht="15" hidden="false" customHeight="false" outlineLevel="0" collapsed="false">
      <c r="A19" s="6"/>
      <c r="B19" s="8" t="s">
        <v>226</v>
      </c>
      <c r="C19" s="34" t="n">
        <f aca="false">C15+C18</f>
        <v>218640266.716667</v>
      </c>
      <c r="D19" s="34" t="n">
        <f aca="false">D15+D18</f>
        <v>239267079.516333</v>
      </c>
      <c r="E19" s="34" t="n">
        <f aca="false">E15+E18</f>
        <v>261231059.675383</v>
      </c>
      <c r="F19" s="34" t="n">
        <f aca="false">F15+F18</f>
        <v>284190471.373463</v>
      </c>
      <c r="G19" s="34" t="n">
        <f aca="false">G15+G18</f>
        <v>308092033.339278</v>
      </c>
    </row>
    <row r="20" customFormat="false" ht="15" hidden="false" customHeight="false" outlineLevel="0" collapsed="false">
      <c r="A20" s="6"/>
      <c r="B20" s="6"/>
      <c r="C20" s="6"/>
      <c r="D20" s="6"/>
      <c r="E20" s="6"/>
      <c r="F20" s="6"/>
      <c r="G20" s="6"/>
    </row>
    <row r="21" customFormat="false" ht="15" hidden="false" customHeight="false" outlineLevel="0" collapsed="false">
      <c r="A21" s="6"/>
      <c r="B21" s="7" t="s">
        <v>227</v>
      </c>
      <c r="C21" s="36" t="n">
        <f aca="false">C12-C19</f>
        <v>320831734.283333</v>
      </c>
      <c r="D21" s="36" t="n">
        <f aca="false">D12-D19</f>
        <v>339935843.143667</v>
      </c>
      <c r="E21" s="36" t="n">
        <f aca="false">E12-E19</f>
        <v>344715210.172267</v>
      </c>
      <c r="F21" s="36" t="n">
        <f aca="false">F12-F19</f>
        <v>341664429.254806</v>
      </c>
      <c r="G21" s="36" t="n">
        <f aca="false">G12-G19</f>
        <v>336605872.643687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46</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228</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7"/>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25" t="s">
        <v>178</v>
      </c>
      <c r="C6" s="29" t="n">
        <f aca="false">COLUMN()-2</f>
        <v>1</v>
      </c>
      <c r="D6" s="29" t="n">
        <f aca="false">COLUMN()-2</f>
        <v>2</v>
      </c>
      <c r="E6" s="29" t="n">
        <f aca="false">COLUMN()-2</f>
        <v>3</v>
      </c>
      <c r="F6" s="29" t="n">
        <f aca="false">COLUMN()-2</f>
        <v>4</v>
      </c>
      <c r="G6" s="29" t="n">
        <f aca="false">COLUMN()-2</f>
        <v>5</v>
      </c>
    </row>
    <row r="7" customFormat="false" ht="15" hidden="false" customHeight="false" outlineLevel="0" collapsed="false">
      <c r="A7" s="6"/>
      <c r="B7" s="9" t="s">
        <v>228</v>
      </c>
      <c r="C7" s="10"/>
      <c r="D7" s="10"/>
      <c r="E7" s="10"/>
      <c r="F7" s="10"/>
      <c r="G7" s="10"/>
    </row>
    <row r="8" customFormat="false" ht="15" hidden="false" customHeight="false" outlineLevel="0" collapsed="false">
      <c r="A8" s="6"/>
      <c r="B8" s="8" t="s">
        <v>229</v>
      </c>
      <c r="C8" s="34" t="n">
        <f aca="false">Term_Loan_Amt</f>
        <v>80000000</v>
      </c>
      <c r="D8" s="34" t="n">
        <f aca="false">C11</f>
        <v>76000000</v>
      </c>
      <c r="E8" s="34" t="n">
        <f aca="false">D11</f>
        <v>72000000</v>
      </c>
      <c r="F8" s="34" t="n">
        <f aca="false">E11</f>
        <v>68000000</v>
      </c>
      <c r="G8" s="34" t="n">
        <f aca="false">F11</f>
        <v>64000000</v>
      </c>
    </row>
    <row r="9" customFormat="false" ht="15" hidden="false" customHeight="false" outlineLevel="0" collapsed="false">
      <c r="A9" s="6"/>
      <c r="B9" s="31" t="s">
        <v>230</v>
      </c>
      <c r="C9" s="34" t="n">
        <f aca="false">0</f>
        <v>0</v>
      </c>
      <c r="D9" s="34" t="n">
        <f aca="false">0</f>
        <v>0</v>
      </c>
      <c r="E9" s="34" t="n">
        <f aca="false">0</f>
        <v>0</v>
      </c>
      <c r="F9" s="34" t="n">
        <f aca="false">0</f>
        <v>0</v>
      </c>
      <c r="G9" s="34" t="n">
        <f aca="false">0</f>
        <v>0</v>
      </c>
    </row>
    <row r="10" customFormat="false" ht="15" hidden="false" customHeight="false" outlineLevel="0" collapsed="false">
      <c r="A10" s="6"/>
      <c r="B10" s="31" t="s">
        <v>231</v>
      </c>
      <c r="C10" s="34" t="n">
        <f aca="false">MIN(Term_Loan_Amt/Term_Tenor,C8)</f>
        <v>4000000</v>
      </c>
      <c r="D10" s="34" t="n">
        <f aca="false">MIN(Term_Loan_Amt/Term_Tenor,D8)</f>
        <v>4000000</v>
      </c>
      <c r="E10" s="34" t="n">
        <f aca="false">MIN(Term_Loan_Amt/Term_Tenor,E8)</f>
        <v>4000000</v>
      </c>
      <c r="F10" s="34" t="n">
        <f aca="false">MIN(Term_Loan_Amt/Term_Tenor,F8)</f>
        <v>4000000</v>
      </c>
      <c r="G10" s="34" t="n">
        <f aca="false">MIN(Term_Loan_Amt/Term_Tenor,G8)</f>
        <v>4000000</v>
      </c>
    </row>
    <row r="11" customFormat="false" ht="15" hidden="false" customHeight="false" outlineLevel="0" collapsed="false">
      <c r="A11" s="6"/>
      <c r="B11" s="7" t="s">
        <v>232</v>
      </c>
      <c r="C11" s="35" t="n">
        <f aca="false">C8+C9-C10</f>
        <v>76000000</v>
      </c>
      <c r="D11" s="35" t="n">
        <f aca="false">D8+D9-D10</f>
        <v>72000000</v>
      </c>
      <c r="E11" s="35" t="n">
        <f aca="false">E8+E9-E10</f>
        <v>68000000</v>
      </c>
      <c r="F11" s="35" t="n">
        <f aca="false">F8+F9-F10</f>
        <v>64000000</v>
      </c>
      <c r="G11" s="35" t="n">
        <f aca="false">G8+G9-G10</f>
        <v>60000000</v>
      </c>
    </row>
    <row r="12" customFormat="false" ht="15" hidden="false" customHeight="false" outlineLevel="0" collapsed="false">
      <c r="A12" s="6"/>
      <c r="B12" s="6"/>
      <c r="C12" s="6"/>
      <c r="D12" s="6"/>
      <c r="E12" s="6"/>
      <c r="F12" s="6"/>
      <c r="G12" s="6"/>
    </row>
    <row r="13" customFormat="false" ht="15" hidden="false" customHeight="false" outlineLevel="0" collapsed="false">
      <c r="A13" s="6"/>
      <c r="B13" s="8" t="s">
        <v>233</v>
      </c>
      <c r="C13" s="34" t="n">
        <f aca="false">C8*Term_Rate</f>
        <v>3600000</v>
      </c>
      <c r="D13" s="34" t="n">
        <f aca="false">D8*Term_Rate</f>
        <v>3420000</v>
      </c>
      <c r="E13" s="34" t="n">
        <f aca="false">E8*Term_Rate</f>
        <v>3240000</v>
      </c>
      <c r="F13" s="34" t="n">
        <f aca="false">F8*Term_Rate</f>
        <v>3060000</v>
      </c>
      <c r="G13" s="34" t="n">
        <f aca="false">G8*Term_Rate</f>
        <v>2880000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234</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235</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7"/>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25" t="s">
        <v>178</v>
      </c>
      <c r="C6" s="29" t="n">
        <f aca="false">COLUMN()-2</f>
        <v>1</v>
      </c>
      <c r="D6" s="29" t="n">
        <f aca="false">COLUMN()-2</f>
        <v>2</v>
      </c>
      <c r="E6" s="29" t="n">
        <f aca="false">COLUMN()-2</f>
        <v>3</v>
      </c>
      <c r="F6" s="29" t="n">
        <f aca="false">COLUMN()-2</f>
        <v>4</v>
      </c>
      <c r="G6" s="29" t="n">
        <f aca="false">COLUMN()-2</f>
        <v>5</v>
      </c>
    </row>
    <row r="7" customFormat="false" ht="15" hidden="false" customHeight="false" outlineLevel="0" collapsed="false">
      <c r="A7" s="6"/>
      <c r="B7" s="9" t="s">
        <v>24</v>
      </c>
      <c r="C7" s="10"/>
      <c r="D7" s="10"/>
      <c r="E7" s="10"/>
      <c r="F7" s="10"/>
      <c r="G7" s="10"/>
    </row>
    <row r="8" customFormat="false" ht="15" hidden="false" customHeight="false" outlineLevel="0" collapsed="false">
      <c r="A8" s="6"/>
      <c r="B8" s="8" t="s">
        <v>229</v>
      </c>
      <c r="C8" s="34" t="n">
        <f aca="false">Endow_Opening</f>
        <v>250000000</v>
      </c>
      <c r="D8" s="34" t="n">
        <f aca="false">C12</f>
        <v>261250000</v>
      </c>
      <c r="E8" s="34" t="n">
        <f aca="false">D12</f>
        <v>272781250</v>
      </c>
      <c r="F8" s="34" t="n">
        <f aca="false">E12</f>
        <v>284600781.25</v>
      </c>
      <c r="G8" s="34" t="n">
        <f aca="false">F12</f>
        <v>296715800.78125</v>
      </c>
    </row>
    <row r="9" customFormat="false" ht="15" hidden="false" customHeight="false" outlineLevel="0" collapsed="false">
      <c r="A9" s="6"/>
      <c r="B9" s="31" t="s">
        <v>236</v>
      </c>
      <c r="C9" s="34" t="n">
        <f aca="false">Annual_Donation</f>
        <v>5000000</v>
      </c>
      <c r="D9" s="34" t="n">
        <f aca="false">Annual_Donation</f>
        <v>5000000</v>
      </c>
      <c r="E9" s="34" t="n">
        <f aca="false">Annual_Donation</f>
        <v>5000000</v>
      </c>
      <c r="F9" s="34" t="n">
        <f aca="false">Annual_Donation</f>
        <v>5000000</v>
      </c>
      <c r="G9" s="34" t="n">
        <f aca="false">Annual_Donation</f>
        <v>5000000</v>
      </c>
    </row>
    <row r="10" customFormat="false" ht="15" hidden="false" customHeight="false" outlineLevel="0" collapsed="false">
      <c r="A10" s="6"/>
      <c r="B10" s="31" t="s">
        <v>237</v>
      </c>
      <c r="C10" s="34" t="n">
        <f aca="false">C8*Endow_Return_Rate</f>
        <v>17500000</v>
      </c>
      <c r="D10" s="34" t="n">
        <f aca="false">D8*Endow_Return_Rate</f>
        <v>18287500</v>
      </c>
      <c r="E10" s="34" t="n">
        <f aca="false">E8*Endow_Return_Rate</f>
        <v>19094687.5</v>
      </c>
      <c r="F10" s="34" t="n">
        <f aca="false">F8*Endow_Return_Rate</f>
        <v>19922054.6875</v>
      </c>
      <c r="G10" s="34" t="n">
        <f aca="false">G8*Endow_Return_Rate</f>
        <v>20770106.0546875</v>
      </c>
    </row>
    <row r="11" customFormat="false" ht="15" hidden="false" customHeight="false" outlineLevel="0" collapsed="false">
      <c r="A11" s="6"/>
      <c r="B11" s="31" t="s">
        <v>238</v>
      </c>
      <c r="C11" s="34" t="n">
        <f aca="false">-C8*Endow_Spend_Rate</f>
        <v>-11250000</v>
      </c>
      <c r="D11" s="34" t="n">
        <f aca="false">-D8*Endow_Spend_Rate</f>
        <v>-11756250</v>
      </c>
      <c r="E11" s="34" t="n">
        <f aca="false">-E8*Endow_Spend_Rate</f>
        <v>-12275156.25</v>
      </c>
      <c r="F11" s="34" t="n">
        <f aca="false">-F8*Endow_Spend_Rate</f>
        <v>-12807035.15625</v>
      </c>
      <c r="G11" s="34" t="n">
        <f aca="false">-G8*Endow_Spend_Rate</f>
        <v>-13352211.0351563</v>
      </c>
    </row>
    <row r="12" customFormat="false" ht="15" hidden="false" customHeight="false" outlineLevel="0" collapsed="false">
      <c r="A12" s="6"/>
      <c r="B12" s="7" t="s">
        <v>232</v>
      </c>
      <c r="C12" s="35" t="n">
        <f aca="false">C8+C9+C10+C11</f>
        <v>261250000</v>
      </c>
      <c r="D12" s="35" t="n">
        <f aca="false">D8+D9+D10+D11</f>
        <v>272781250</v>
      </c>
      <c r="E12" s="35" t="n">
        <f aca="false">E8+E9+E10+E11</f>
        <v>284600781.25</v>
      </c>
      <c r="F12" s="35" t="n">
        <f aca="false">F8+F9+F10+F11</f>
        <v>296715800.78125</v>
      </c>
      <c r="G12" s="35" t="n">
        <f aca="false">G8+G9+G10+G11</f>
        <v>309133695.800781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4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239</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7"/>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25" t="s">
        <v>178</v>
      </c>
      <c r="C6" s="29" t="n">
        <f aca="false">COLUMN()-2</f>
        <v>1</v>
      </c>
      <c r="D6" s="29" t="n">
        <f aca="false">COLUMN()-2</f>
        <v>2</v>
      </c>
      <c r="E6" s="29" t="n">
        <f aca="false">COLUMN()-2</f>
        <v>3</v>
      </c>
      <c r="F6" s="29" t="n">
        <f aca="false">COLUMN()-2</f>
        <v>4</v>
      </c>
      <c r="G6" s="29"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16</v>
      </c>
      <c r="C8" s="10"/>
      <c r="D8" s="10"/>
      <c r="E8" s="10"/>
      <c r="F8" s="10"/>
      <c r="G8" s="10"/>
    </row>
    <row r="9" customFormat="false" ht="15" hidden="false" customHeight="false" outlineLevel="0" collapsed="false">
      <c r="A9" s="6"/>
      <c r="B9" s="31" t="s">
        <v>190</v>
      </c>
      <c r="C9" s="34" t="n">
        <f aca="false">Revenue!C$10</f>
        <v>318206720</v>
      </c>
      <c r="D9" s="34" t="n">
        <f aca="false">Revenue!D$10</f>
        <v>250410139.2</v>
      </c>
      <c r="E9" s="34" t="n">
        <f aca="false">Revenue!E$10</f>
        <v>206056824.688</v>
      </c>
      <c r="F9" s="34" t="n">
        <f aca="false">Revenue!F$10</f>
        <v>177727238.5512</v>
      </c>
      <c r="G9" s="34" t="n">
        <f aca="false">Revenue!G$10</f>
        <v>160355472.073826</v>
      </c>
    </row>
    <row r="10" customFormat="false" ht="15" hidden="false" customHeight="false" outlineLevel="0" collapsed="false">
      <c r="A10" s="6"/>
      <c r="B10" s="31" t="s">
        <v>192</v>
      </c>
      <c r="C10" s="34" t="n">
        <f aca="false">Revenue!C$15</f>
        <v>32545800</v>
      </c>
      <c r="D10" s="34" t="n">
        <f aca="false">Revenue!D$15</f>
        <v>27768594</v>
      </c>
      <c r="E10" s="34" t="n">
        <f aca="false">Revenue!E$15</f>
        <v>26168795.94</v>
      </c>
      <c r="F10" s="34" t="n">
        <f aca="false">Revenue!F$15</f>
        <v>26054326.9518</v>
      </c>
      <c r="G10" s="34" t="n">
        <f aca="false">Revenue!G$15</f>
        <v>26670506.965284</v>
      </c>
    </row>
    <row r="11" customFormat="false" ht="15" hidden="false" customHeight="false" outlineLevel="0" collapsed="false">
      <c r="A11" s="6"/>
      <c r="B11" s="31" t="s">
        <v>194</v>
      </c>
      <c r="C11" s="34" t="n">
        <f aca="false">Revenue!C$20</f>
        <v>18000000</v>
      </c>
      <c r="D11" s="34" t="n">
        <f aca="false">Revenue!D$20</f>
        <v>18360000</v>
      </c>
      <c r="E11" s="34" t="n">
        <f aca="false">Revenue!E$20</f>
        <v>18727200</v>
      </c>
      <c r="F11" s="34" t="n">
        <f aca="false">Revenue!F$20</f>
        <v>19101744</v>
      </c>
      <c r="G11" s="34" t="n">
        <f aca="false">Revenue!G$20</f>
        <v>19483778.88</v>
      </c>
    </row>
    <row r="12" customFormat="false" ht="15" hidden="false" customHeight="false" outlineLevel="0" collapsed="false">
      <c r="A12" s="6"/>
      <c r="B12" s="31" t="s">
        <v>195</v>
      </c>
      <c r="C12" s="34" t="n">
        <f aca="false">Revenue!C$21</f>
        <v>109437500</v>
      </c>
      <c r="D12" s="34" t="n">
        <f aca="false">Revenue!D$21</f>
        <v>86323450</v>
      </c>
      <c r="E12" s="34" t="n">
        <f aca="false">Revenue!E$21</f>
        <v>71638966.875</v>
      </c>
      <c r="F12" s="34" t="n">
        <f aca="false">Revenue!F$21</f>
        <v>62482270.953125</v>
      </c>
      <c r="G12" s="34" t="n">
        <f aca="false">Revenue!G$21</f>
        <v>56998138.1396484</v>
      </c>
    </row>
    <row r="13" customFormat="false" ht="15" hidden="false" customHeight="false" outlineLevel="0" collapsed="false">
      <c r="A13" s="6"/>
      <c r="B13" s="31" t="s">
        <v>196</v>
      </c>
      <c r="C13" s="34" t="n">
        <f aca="false">Revenue!C$22</f>
        <v>11250000</v>
      </c>
      <c r="D13" s="34" t="n">
        <f aca="false">Revenue!D$22</f>
        <v>11756250</v>
      </c>
      <c r="E13" s="34" t="n">
        <f aca="false">Revenue!E$22</f>
        <v>12275156.25</v>
      </c>
      <c r="F13" s="34" t="n">
        <f aca="false">Revenue!F$22</f>
        <v>12807035.15625</v>
      </c>
      <c r="G13" s="34" t="n">
        <f aca="false">Revenue!G$22</f>
        <v>13352211.0351563</v>
      </c>
    </row>
    <row r="14" customFormat="false" ht="15" hidden="false" customHeight="false" outlineLevel="0" collapsed="false">
      <c r="A14" s="6"/>
      <c r="B14" s="7" t="s">
        <v>198</v>
      </c>
      <c r="C14" s="36" t="n">
        <f aca="false">SUM(C9:C13)</f>
        <v>489440020</v>
      </c>
      <c r="D14" s="36" t="n">
        <f aca="false">SUM(D9:D13)</f>
        <v>394618433.2</v>
      </c>
      <c r="E14" s="36" t="n">
        <f aca="false">SUM(E9:E13)</f>
        <v>334866943.753</v>
      </c>
      <c r="F14" s="36" t="n">
        <f aca="false">SUM(F9:F13)</f>
        <v>298172615.612375</v>
      </c>
      <c r="G14" s="36" t="n">
        <f aca="false">SUM(G9:G13)</f>
        <v>276860107.093914</v>
      </c>
    </row>
    <row r="15" customFormat="false" ht="15" hidden="false" customHeight="false" outlineLevel="0" collapsed="false">
      <c r="A15" s="6"/>
      <c r="B15" s="6"/>
      <c r="C15" s="6"/>
      <c r="D15" s="6"/>
      <c r="E15" s="6"/>
      <c r="F15" s="6"/>
      <c r="G15" s="6"/>
    </row>
    <row r="16" customFormat="false" ht="15" hidden="false" customHeight="false" outlineLevel="0" collapsed="false">
      <c r="A16" s="6"/>
      <c r="B16" s="9" t="s">
        <v>240</v>
      </c>
      <c r="C16" s="10"/>
      <c r="D16" s="10"/>
      <c r="E16" s="10"/>
      <c r="F16" s="10"/>
      <c r="G16" s="10"/>
    </row>
    <row r="17" customFormat="false" ht="15" hidden="false" customHeight="false" outlineLevel="0" collapsed="false">
      <c r="A17" s="6"/>
      <c r="B17" s="31" t="s">
        <v>199</v>
      </c>
      <c r="C17" s="34" t="n">
        <f aca="false">Operating_Costs!C$11</f>
        <v>111872000</v>
      </c>
      <c r="D17" s="34" t="n">
        <f aca="false">Operating_Costs!D$11</f>
        <v>88675584</v>
      </c>
      <c r="E17" s="34" t="n">
        <f aca="false">Operating_Costs!E$11</f>
        <v>73920117.12</v>
      </c>
      <c r="F17" s="34" t="n">
        <f aca="false">Operating_Costs!F$11</f>
        <v>64843294.3616</v>
      </c>
      <c r="G17" s="34" t="n">
        <f aca="false">Operating_Costs!G$11</f>
        <v>59398052.142464</v>
      </c>
    </row>
    <row r="18" customFormat="false" ht="15" hidden="false" customHeight="false" outlineLevel="0" collapsed="false">
      <c r="A18" s="6"/>
      <c r="B18" s="31" t="s">
        <v>241</v>
      </c>
      <c r="C18" s="34" t="n">
        <f aca="false">Operating_Costs!C$16</f>
        <v>24640000</v>
      </c>
      <c r="D18" s="34" t="n">
        <f aca="false">Operating_Costs!D$16</f>
        <v>25256000</v>
      </c>
      <c r="E18" s="34" t="n">
        <f aca="false">Operating_Costs!E$16</f>
        <v>25887400</v>
      </c>
      <c r="F18" s="34" t="n">
        <f aca="false">Operating_Costs!F$16</f>
        <v>26534585</v>
      </c>
      <c r="G18" s="34" t="n">
        <f aca="false">Operating_Costs!G$16</f>
        <v>27197949.625</v>
      </c>
    </row>
    <row r="19" customFormat="false" ht="15" hidden="false" customHeight="false" outlineLevel="0" collapsed="false">
      <c r="A19" s="6"/>
      <c r="B19" s="31" t="s">
        <v>210</v>
      </c>
      <c r="C19" s="34" t="n">
        <f aca="false">C14*Facilities_Pct</f>
        <v>48944002</v>
      </c>
      <c r="D19" s="34" t="n">
        <f aca="false">D14*Facilities_Pct</f>
        <v>39461843.32</v>
      </c>
      <c r="E19" s="34" t="n">
        <f aca="false">E14*Facilities_Pct</f>
        <v>33486694.3753</v>
      </c>
      <c r="F19" s="34" t="n">
        <f aca="false">F14*Facilities_Pct</f>
        <v>29817261.5612375</v>
      </c>
      <c r="G19" s="34" t="n">
        <f aca="false">G14*Facilities_Pct</f>
        <v>27686010.7093914</v>
      </c>
    </row>
    <row r="20" customFormat="false" ht="15" hidden="false" customHeight="false" outlineLevel="0" collapsed="false">
      <c r="A20" s="6"/>
      <c r="B20" s="31" t="s">
        <v>125</v>
      </c>
      <c r="C20" s="34" t="n">
        <f aca="false">C14*Student_Svc_Pct</f>
        <v>19577600.8</v>
      </c>
      <c r="D20" s="34" t="n">
        <f aca="false">D14*Student_Svc_Pct</f>
        <v>15784737.328</v>
      </c>
      <c r="E20" s="34" t="n">
        <f aca="false">E14*Student_Svc_Pct</f>
        <v>13394677.75012</v>
      </c>
      <c r="F20" s="34" t="n">
        <f aca="false">F14*Student_Svc_Pct</f>
        <v>11926904.624495</v>
      </c>
      <c r="G20" s="34" t="n">
        <f aca="false">G14*Student_Svc_Pct</f>
        <v>11074404.2837566</v>
      </c>
    </row>
    <row r="21" customFormat="false" ht="15" hidden="false" customHeight="false" outlineLevel="0" collapsed="false">
      <c r="A21" s="6"/>
      <c r="B21" s="31" t="s">
        <v>126</v>
      </c>
      <c r="C21" s="34" t="n">
        <f aca="false">C14*Mktg_Pct</f>
        <v>17130400.7</v>
      </c>
      <c r="D21" s="34" t="n">
        <f aca="false">D14*Mktg_Pct</f>
        <v>13811645.162</v>
      </c>
      <c r="E21" s="34" t="n">
        <f aca="false">E14*Mktg_Pct</f>
        <v>11720343.031355</v>
      </c>
      <c r="F21" s="34" t="n">
        <f aca="false">F14*Mktg_Pct</f>
        <v>10436041.5464331</v>
      </c>
      <c r="G21" s="34" t="n">
        <f aca="false">G14*Mktg_Pct</f>
        <v>9690103.748287</v>
      </c>
    </row>
    <row r="22" customFormat="false" ht="15" hidden="false" customHeight="false" outlineLevel="0" collapsed="false">
      <c r="A22" s="6"/>
      <c r="B22" s="31" t="s">
        <v>127</v>
      </c>
      <c r="C22" s="34" t="n">
        <f aca="false">C14*IT_Pct</f>
        <v>19577600.8</v>
      </c>
      <c r="D22" s="34" t="n">
        <f aca="false">D14*IT_Pct</f>
        <v>15784737.328</v>
      </c>
      <c r="E22" s="34" t="n">
        <f aca="false">E14*IT_Pct</f>
        <v>13394677.75012</v>
      </c>
      <c r="F22" s="34" t="n">
        <f aca="false">F14*IT_Pct</f>
        <v>11926904.624495</v>
      </c>
      <c r="G22" s="34" t="n">
        <f aca="false">G14*IT_Pct</f>
        <v>11074404.2837566</v>
      </c>
    </row>
    <row r="23" customFormat="false" ht="15" hidden="false" customHeight="false" outlineLevel="0" collapsed="false">
      <c r="A23" s="6"/>
      <c r="B23" s="31" t="s">
        <v>211</v>
      </c>
      <c r="C23" s="34" t="n">
        <f aca="false">Insurance_Base*(1+Insurance_Esc)^(C6-1)</f>
        <v>3000000</v>
      </c>
      <c r="D23" s="34" t="n">
        <f aca="false">Insurance_Base*(1+Insurance_Esc)^(D6-1)</f>
        <v>3090000</v>
      </c>
      <c r="E23" s="34" t="n">
        <f aca="false">Insurance_Base*(1+Insurance_Esc)^(E6-1)</f>
        <v>3182700</v>
      </c>
      <c r="F23" s="34" t="n">
        <f aca="false">Insurance_Base*(1+Insurance_Esc)^(F6-1)</f>
        <v>3278181</v>
      </c>
      <c r="G23" s="34" t="n">
        <f aca="false">Insurance_Base*(1+Insurance_Esc)^(G6-1)</f>
        <v>3376526.43</v>
      </c>
    </row>
    <row r="24" customFormat="false" ht="15" hidden="false" customHeight="false" outlineLevel="0" collapsed="false">
      <c r="A24" s="6"/>
      <c r="B24" s="31" t="s">
        <v>212</v>
      </c>
      <c r="C24" s="34" t="n">
        <f aca="false">Utilities_Base*(1+Utilities_Esc)^(C6-1)</f>
        <v>4500000</v>
      </c>
      <c r="D24" s="34" t="n">
        <f aca="false">Utilities_Base*(1+Utilities_Esc)^(D6-1)</f>
        <v>4635000</v>
      </c>
      <c r="E24" s="34" t="n">
        <f aca="false">Utilities_Base*(1+Utilities_Esc)^(E6-1)</f>
        <v>4774050</v>
      </c>
      <c r="F24" s="34" t="n">
        <f aca="false">Utilities_Base*(1+Utilities_Esc)^(F6-1)</f>
        <v>4917271.5</v>
      </c>
      <c r="G24" s="34" t="n">
        <f aca="false">Utilities_Base*(1+Utilities_Esc)^(G6-1)</f>
        <v>5064789.645</v>
      </c>
    </row>
    <row r="25" customFormat="false" ht="15" hidden="false" customHeight="false" outlineLevel="0" collapsed="false">
      <c r="A25" s="6"/>
      <c r="B25" s="31" t="s">
        <v>134</v>
      </c>
      <c r="C25" s="34" t="n">
        <f aca="false">C14*Supplies_Pct</f>
        <v>12236000.5</v>
      </c>
      <c r="D25" s="34" t="n">
        <f aca="false">D14*Supplies_Pct</f>
        <v>9865460.83</v>
      </c>
      <c r="E25" s="34" t="n">
        <f aca="false">E14*Supplies_Pct</f>
        <v>8371673.593825</v>
      </c>
      <c r="F25" s="34" t="n">
        <f aca="false">F14*Supplies_Pct</f>
        <v>7454315.39030938</v>
      </c>
      <c r="G25" s="34" t="n">
        <f aca="false">G14*Supplies_Pct</f>
        <v>6921502.67734786</v>
      </c>
    </row>
    <row r="26" customFormat="false" ht="15" hidden="false" customHeight="false" outlineLevel="0" collapsed="false">
      <c r="A26" s="6"/>
      <c r="B26" s="7" t="s">
        <v>214</v>
      </c>
      <c r="C26" s="36" t="n">
        <f aca="false">SUM(C17:C25)</f>
        <v>261477604.8</v>
      </c>
      <c r="D26" s="36" t="n">
        <f aca="false">SUM(D17:D25)</f>
        <v>216365007.968</v>
      </c>
      <c r="E26" s="36" t="n">
        <f aca="false">SUM(E17:E25)</f>
        <v>188132333.62072</v>
      </c>
      <c r="F26" s="36" t="n">
        <f aca="false">SUM(F17:F25)</f>
        <v>171134759.60857</v>
      </c>
      <c r="G26" s="36" t="n">
        <f aca="false">SUM(G17:G25)</f>
        <v>161483743.545003</v>
      </c>
    </row>
    <row r="27" customFormat="false" ht="15" hidden="false" customHeight="false" outlineLevel="0" collapsed="false">
      <c r="A27" s="6"/>
      <c r="B27" s="6"/>
      <c r="C27" s="6"/>
      <c r="D27" s="6"/>
      <c r="E27" s="6"/>
      <c r="F27" s="6"/>
      <c r="G27" s="6"/>
    </row>
    <row r="28" customFormat="false" ht="15" hidden="false" customHeight="false" outlineLevel="0" collapsed="false">
      <c r="A28" s="6"/>
      <c r="B28" s="7" t="s">
        <v>242</v>
      </c>
      <c r="C28" s="35" t="n">
        <f aca="false">C14-C26</f>
        <v>227962415.2</v>
      </c>
      <c r="D28" s="35" t="n">
        <f aca="false">D14-D26</f>
        <v>178253425.232</v>
      </c>
      <c r="E28" s="35" t="n">
        <f aca="false">E14-E26</f>
        <v>146734610.13228</v>
      </c>
      <c r="F28" s="35" t="n">
        <f aca="false">F14-F26</f>
        <v>127037856.003805</v>
      </c>
      <c r="G28" s="35" t="n">
        <f aca="false">G14-G26</f>
        <v>115376363.548911</v>
      </c>
    </row>
    <row r="29" customFormat="false" ht="15" hidden="false" customHeight="false" outlineLevel="0" collapsed="false">
      <c r="A29" s="6"/>
      <c r="B29" s="25" t="s">
        <v>243</v>
      </c>
      <c r="C29" s="37" t="n">
        <f aca="false">IFERROR(C28/C14,0)</f>
        <v>0.465761698849228</v>
      </c>
      <c r="D29" s="37" t="n">
        <f aca="false">IFERROR(D28/D14,0)</f>
        <v>0.4517108432734</v>
      </c>
      <c r="E29" s="37" t="n">
        <f aca="false">IFERROR(E28/E14,0)</f>
        <v>0.438187802258895</v>
      </c>
      <c r="F29" s="37" t="n">
        <f aca="false">IFERROR(F28/F14,0)</f>
        <v>0.426054739275435</v>
      </c>
      <c r="G29" s="37" t="n">
        <f aca="false">IFERROR(G28/G14,0)</f>
        <v>0.416731629413745</v>
      </c>
    </row>
    <row r="30" customFormat="false" ht="15" hidden="false" customHeight="false" outlineLevel="0" collapsed="false">
      <c r="A30" s="6"/>
      <c r="B30" s="6"/>
      <c r="C30" s="6"/>
      <c r="D30" s="6"/>
      <c r="E30" s="6"/>
      <c r="F30" s="6"/>
      <c r="G30" s="6"/>
    </row>
    <row r="31" customFormat="false" ht="15" hidden="false" customHeight="false" outlineLevel="0" collapsed="false">
      <c r="A31" s="6"/>
      <c r="B31" s="9" t="s">
        <v>244</v>
      </c>
      <c r="C31" s="10"/>
      <c r="D31" s="10"/>
      <c r="E31" s="10"/>
      <c r="F31" s="10"/>
      <c r="G31" s="10"/>
    </row>
    <row r="32" customFormat="false" ht="15" hidden="false" customHeight="false" outlineLevel="0" collapsed="false">
      <c r="A32" s="6"/>
      <c r="B32" s="31" t="s">
        <v>245</v>
      </c>
      <c r="C32" s="34" t="n">
        <f aca="false">Capex_Depreciation!C$18</f>
        <v>18640266.7166667</v>
      </c>
      <c r="D32" s="34" t="n">
        <f aca="false">Capex_Depreciation!D$18</f>
        <v>20626812.7996667</v>
      </c>
      <c r="E32" s="34" t="n">
        <f aca="false">Capex_Depreciation!E$18</f>
        <v>21963980.1590492</v>
      </c>
      <c r="F32" s="34" t="n">
        <f aca="false">Capex_Depreciation!F$18</f>
        <v>22959411.6980801</v>
      </c>
      <c r="G32" s="34" t="n">
        <f aca="false">Capex_Depreciation!G$18</f>
        <v>23901561.9658149</v>
      </c>
    </row>
    <row r="33" customFormat="false" ht="15" hidden="false" customHeight="false" outlineLevel="0" collapsed="false">
      <c r="A33" s="6"/>
      <c r="B33" s="7" t="s">
        <v>246</v>
      </c>
      <c r="C33" s="35" t="n">
        <f aca="false">C28-C32</f>
        <v>209322148.483333</v>
      </c>
      <c r="D33" s="35" t="n">
        <f aca="false">D28-D32</f>
        <v>157626612.432333</v>
      </c>
      <c r="E33" s="35" t="n">
        <f aca="false">E28-E32</f>
        <v>124770629.973231</v>
      </c>
      <c r="F33" s="35" t="n">
        <f aca="false">F28-F32</f>
        <v>104078444.305725</v>
      </c>
      <c r="G33" s="35" t="n">
        <f aca="false">G28-G32</f>
        <v>91474801.5830959</v>
      </c>
    </row>
    <row r="34" customFormat="false" ht="15" hidden="false" customHeight="false" outlineLevel="0" collapsed="false">
      <c r="A34" s="6"/>
      <c r="B34" s="6"/>
      <c r="C34" s="6"/>
      <c r="D34" s="6"/>
      <c r="E34" s="6"/>
      <c r="F34" s="6"/>
      <c r="G34" s="6"/>
    </row>
    <row r="35" customFormat="false" ht="15" hidden="false" customHeight="false" outlineLevel="0" collapsed="false">
      <c r="A35" s="6"/>
      <c r="B35" s="31" t="s">
        <v>233</v>
      </c>
      <c r="C35" s="34" t="n">
        <f aca="false">Debt_Schedule!C$13</f>
        <v>3600000</v>
      </c>
      <c r="D35" s="34" t="n">
        <f aca="false">Debt_Schedule!D$13</f>
        <v>3420000</v>
      </c>
      <c r="E35" s="34" t="n">
        <f aca="false">Debt_Schedule!E$13</f>
        <v>3240000</v>
      </c>
      <c r="F35" s="34" t="n">
        <f aca="false">Debt_Schedule!F$13</f>
        <v>3060000</v>
      </c>
      <c r="G35" s="34" t="n">
        <f aca="false">Debt_Schedule!G$13</f>
        <v>2880000</v>
      </c>
    </row>
    <row r="36" customFormat="false" ht="15" hidden="false" customHeight="false" outlineLevel="0" collapsed="false">
      <c r="A36" s="6"/>
      <c r="B36" s="6"/>
      <c r="C36" s="6"/>
      <c r="D36" s="6"/>
      <c r="E36" s="6"/>
      <c r="F36" s="6"/>
      <c r="G36" s="6"/>
    </row>
    <row r="37" customFormat="false" ht="15" hidden="false" customHeight="false" outlineLevel="0" collapsed="false">
      <c r="A37" s="6"/>
      <c r="B37" s="7" t="s">
        <v>247</v>
      </c>
      <c r="C37" s="35" t="n">
        <f aca="false">C33-C35</f>
        <v>205722148.483333</v>
      </c>
      <c r="D37" s="35" t="n">
        <f aca="false">D33-D35</f>
        <v>154206612.432333</v>
      </c>
      <c r="E37" s="35" t="n">
        <f aca="false">E33-E35</f>
        <v>121530629.973231</v>
      </c>
      <c r="F37" s="35" t="n">
        <f aca="false">F33-F35</f>
        <v>101018444.305725</v>
      </c>
      <c r="G37" s="35" t="n">
        <f aca="false">G33-G35</f>
        <v>88594801.5830959</v>
      </c>
    </row>
    <row r="38" customFormat="false" ht="15" hidden="false" customHeight="false" outlineLevel="0" collapsed="false">
      <c r="A38" s="6"/>
      <c r="B38" s="31" t="s">
        <v>158</v>
      </c>
      <c r="C38" s="34" t="n">
        <f aca="false">MAX(0,C37*Tax_Rate)</f>
        <v>0</v>
      </c>
      <c r="D38" s="34" t="n">
        <f aca="false">MAX(0,D37*Tax_Rate)</f>
        <v>0</v>
      </c>
      <c r="E38" s="34" t="n">
        <f aca="false">MAX(0,E37*Tax_Rate)</f>
        <v>0</v>
      </c>
      <c r="F38" s="34" t="n">
        <f aca="false">MAX(0,F37*Tax_Rate)</f>
        <v>0</v>
      </c>
      <c r="G38" s="34" t="n">
        <f aca="false">MAX(0,G37*Tax_Rate)</f>
        <v>0</v>
      </c>
    </row>
    <row r="39" customFormat="false" ht="15" hidden="false" customHeight="false" outlineLevel="0" collapsed="false">
      <c r="A39" s="6"/>
      <c r="B39" s="6"/>
      <c r="C39" s="6"/>
      <c r="D39" s="6"/>
      <c r="E39" s="6"/>
      <c r="F39" s="6"/>
      <c r="G39" s="6"/>
    </row>
    <row r="40" customFormat="false" ht="15" hidden="false" customHeight="false" outlineLevel="0" collapsed="false">
      <c r="A40" s="6"/>
      <c r="B40" s="7" t="s">
        <v>248</v>
      </c>
      <c r="C40" s="36" t="n">
        <f aca="false">C37-C38</f>
        <v>205722148.483333</v>
      </c>
      <c r="D40" s="36" t="n">
        <f aca="false">D37-D38</f>
        <v>154206612.432333</v>
      </c>
      <c r="E40" s="36" t="n">
        <f aca="false">E37-E38</f>
        <v>121530629.973231</v>
      </c>
      <c r="F40" s="36" t="n">
        <f aca="false">F37-F38</f>
        <v>101018444.305725</v>
      </c>
      <c r="G40" s="36" t="n">
        <f aca="false">G37-G38</f>
        <v>88594801.5830959</v>
      </c>
    </row>
    <row r="41" customFormat="false" ht="15" hidden="false" customHeight="false" outlineLevel="0" collapsed="false">
      <c r="A41" s="6"/>
      <c r="B41" s="25" t="s">
        <v>249</v>
      </c>
      <c r="C41" s="37" t="n">
        <f aca="false">IFERROR(C40/C14,0)</f>
        <v>0.420321469591582</v>
      </c>
      <c r="D41" s="37" t="n">
        <f aca="false">IFERROR(D40/D14,0)</f>
        <v>0.390773971661325</v>
      </c>
      <c r="E41" s="37" t="n">
        <f aca="false">IFERROR(E40/E14,0)</f>
        <v>0.362922146364117</v>
      </c>
      <c r="F41" s="37" t="n">
        <f aca="false">IFERROR(F40/F14,0)</f>
        <v>0.338791823985101</v>
      </c>
      <c r="G41" s="37" t="n">
        <f aca="false">IFERROR(G40/G14,0)</f>
        <v>0.319998437163948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2026-05-15T18:54:01Z</dcterms:created>
  <dc:creator>openpyxl</dc:creator>
  <dc:description/>
  <dc:language>en-GB</dc:language>
  <cp:lastModifiedBy/>
  <dcterms:modified xsi:type="dcterms:W3CDTF">2026-05-15T18:54:01Z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