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Capex_Depr" sheetId="3" state="visible" r:id="rId5"/>
    <sheet name="Rate_Base" sheetId="4" state="visible" r:id="rId6"/>
    <sheet name="Opex" sheetId="5" state="visible" r:id="rId7"/>
    <sheet name="Revenue_Req" sheetId="6" state="visible" r:id="rId8"/>
    <sheet name="Debt_Schedule" sheetId="7" state="visible" r:id="rId9"/>
    <sheet name="Income_Statement" sheetId="8" state="visible" r:id="rId10"/>
    <sheet name="Cash_Flow" sheetId="9" state="visible" r:id="rId11"/>
    <sheet name="Checks" sheetId="10" state="visible" r:id="rId12"/>
    <sheet name="Disclaimer" sheetId="11" state="visible" r:id="rId13"/>
  </sheets>
  <definedNames>
    <definedName function="false" hidden="false" name="Annual_MWh" vbProcedure="false">Assumptions!$C$14</definedName>
    <definedName function="false" hidden="false" name="Asset_Life" vbProcedure="false">Assumptions!$C$24</definedName>
    <definedName function="false" hidden="false" name="CD_Total_Capex" vbProcedure="false">Capex_Depr!$D$10</definedName>
    <definedName function="false" hidden="false" name="CD_Total_Depr_Y1" vbProcedure="false">Capex_Depr!$D$18</definedName>
    <definedName function="false" hidden="false" name="CD_Total_Depr_Y2" vbProcedure="false">Capex_Depr!$E$18</definedName>
    <definedName function="false" hidden="false" name="CD_Total_Depr_Y3" vbProcedure="false">Capex_Depr!$F$18</definedName>
    <definedName function="false" hidden="false" name="CD_Total_Depr_Y4" vbProcedure="false">Capex_Depr!$G$18</definedName>
    <definedName function="false" hidden="false" name="CD_Total_Depr_Y5" vbProcedure="false">Capex_Depr!$H$18</definedName>
    <definedName function="false" hidden="false" name="CF_CFI_Y1" vbProcedure="false">Cash_Flow!$D$15</definedName>
    <definedName function="false" hidden="false" name="CF_CFI_Y2" vbProcedure="false">Cash_Flow!$E$15</definedName>
    <definedName function="false" hidden="false" name="CF_CFI_Y3" vbProcedure="false">Cash_Flow!$F$15</definedName>
    <definedName function="false" hidden="false" name="CF_CFI_Y4" vbProcedure="false">Cash_Flow!$G$15</definedName>
    <definedName function="false" hidden="false" name="CF_CFI_Y5" vbProcedure="false">Cash_Flow!$H$15</definedName>
    <definedName function="false" hidden="false" name="CF_CFO_Y1" vbProcedure="false">Cash_Flow!$D$12</definedName>
    <definedName function="false" hidden="false" name="CF_CFO_Y2" vbProcedure="false">Cash_Flow!$E$12</definedName>
    <definedName function="false" hidden="false" name="CF_CFO_Y3" vbProcedure="false">Cash_Flow!$F$12</definedName>
    <definedName function="false" hidden="false" name="CF_CFO_Y4" vbProcedure="false">Cash_Flow!$G$12</definedName>
    <definedName function="false" hidden="false" name="CF_CFO_Y5" vbProcedure="false">Cash_Flow!$H$12</definedName>
    <definedName function="false" hidden="false" name="CF_Closing_Y1" vbProcedure="false">Cash_Flow!$D$28</definedName>
    <definedName function="false" hidden="false" name="CF_Closing_Y2" vbProcedure="false">Cash_Flow!$E$28</definedName>
    <definedName function="false" hidden="false" name="CF_Closing_Y3" vbProcedure="false">Cash_Flow!$F$28</definedName>
    <definedName function="false" hidden="false" name="CF_Closing_Y4" vbProcedure="false">Cash_Flow!$G$28</definedName>
    <definedName function="false" hidden="false" name="CF_Closing_Y5" vbProcedure="false">Cash_Flow!$H$28</definedName>
    <definedName function="false" hidden="false" name="CF_Pre_Rev_Cash_Y1" vbProcedure="false">Cash_Flow!$D$20</definedName>
    <definedName function="false" hidden="false" name="CF_Pre_Rev_Cash_Y2" vbProcedure="false">Cash_Flow!$E$20</definedName>
    <definedName function="false" hidden="false" name="CF_Pre_Rev_Cash_Y3" vbProcedure="false">Cash_Flow!$F$20</definedName>
    <definedName function="false" hidden="false" name="CF_Pre_Rev_Cash_Y4" vbProcedure="false">Cash_Flow!$G$20</definedName>
    <definedName function="false" hidden="false" name="CF_Pre_Rev_Cash_Y5" vbProcedure="false">Cash_Flow!$H$20</definedName>
    <definedName function="false" hidden="false" name="Commit_Fee_Rate" vbProcedure="false">Assumptions!$C$37</definedName>
    <definedName function="false" hidden="false" name="Cost_of_Debt" vbProcedure="false">Assumptions!$C$29</definedName>
    <definedName function="false" hidden="false" name="Dividend_Payout" vbProcedure="false">Assumptions!$C$32</definedName>
    <definedName function="false" hidden="false" name="DPO" vbProcedure="false">Assumptions!$C$40</definedName>
    <definedName function="false" hidden="false" name="DSO" vbProcedure="false">Assumptions!$C$39</definedName>
    <definedName function="false" hidden="false" name="DS_Commit_Fee_Y1" vbProcedure="false">Debt_Schedule!$D$20</definedName>
    <definedName function="false" hidden="false" name="DS_Commit_Fee_Y2" vbProcedure="false">Debt_Schedule!$E$20</definedName>
    <definedName function="false" hidden="false" name="DS_Commit_Fee_Y3" vbProcedure="false">Debt_Schedule!$F$20</definedName>
    <definedName function="false" hidden="false" name="DS_Commit_Fee_Y4" vbProcedure="false">Debt_Schedule!$G$20</definedName>
    <definedName function="false" hidden="false" name="DS_Commit_Fee_Y5" vbProcedure="false">Debt_Schedule!$H$20</definedName>
    <definedName function="false" hidden="false" name="DS_LT_Close_Y1" vbProcedure="false">Debt_Schedule!$D$10</definedName>
    <definedName function="false" hidden="false" name="DS_LT_Close_Y2" vbProcedure="false">Debt_Schedule!$E$10</definedName>
    <definedName function="false" hidden="false" name="DS_LT_Close_Y3" vbProcedure="false">Debt_Schedule!$F$10</definedName>
    <definedName function="false" hidden="false" name="DS_LT_Close_Y4" vbProcedure="false">Debt_Schedule!$G$10</definedName>
    <definedName function="false" hidden="false" name="DS_LT_Close_Y5" vbProcedure="false">Debt_Schedule!$H$10</definedName>
    <definedName function="false" hidden="false" name="DS_LT_Interest_Y1" vbProcedure="false">Debt_Schedule!$D$11</definedName>
    <definedName function="false" hidden="false" name="DS_LT_Interest_Y2" vbProcedure="false">Debt_Schedule!$E$11</definedName>
    <definedName function="false" hidden="false" name="DS_LT_Interest_Y3" vbProcedure="false">Debt_Schedule!$F$11</definedName>
    <definedName function="false" hidden="false" name="DS_LT_Interest_Y4" vbProcedure="false">Debt_Schedule!$G$11</definedName>
    <definedName function="false" hidden="false" name="DS_LT_Interest_Y5" vbProcedure="false">Debt_Schedule!$H$11</definedName>
    <definedName function="false" hidden="false" name="DS_LT_Repay_Y1" vbProcedure="false">Debt_Schedule!$D$9</definedName>
    <definedName function="false" hidden="false" name="DS_LT_Repay_Y2" vbProcedure="false">Debt_Schedule!$E$9</definedName>
    <definedName function="false" hidden="false" name="DS_LT_Repay_Y3" vbProcedure="false">Debt_Schedule!$F$9</definedName>
    <definedName function="false" hidden="false" name="DS_LT_Repay_Y4" vbProcedure="false">Debt_Schedule!$G$9</definedName>
    <definedName function="false" hidden="false" name="DS_LT_Repay_Y5" vbProcedure="false">Debt_Schedule!$H$9</definedName>
    <definedName function="false" hidden="false" name="DS_New_Bonds_Y1" vbProcedure="false">Debt_Schedule!$D$12</definedName>
    <definedName function="false" hidden="false" name="DS_New_Bonds_Y2" vbProcedure="false">Debt_Schedule!$E$12</definedName>
    <definedName function="false" hidden="false" name="DS_New_Bonds_Y3" vbProcedure="false">Debt_Schedule!$F$12</definedName>
    <definedName function="false" hidden="false" name="DS_New_Bonds_Y4" vbProcedure="false">Debt_Schedule!$G$12</definedName>
    <definedName function="false" hidden="false" name="DS_New_Bonds_Y5" vbProcedure="false">Debt_Schedule!$H$12</definedName>
    <definedName function="false" hidden="false" name="DS_Rev_Close_Y1" vbProcedure="false">Debt_Schedule!$D$18</definedName>
    <definedName function="false" hidden="false" name="DS_Rev_Close_Y2" vbProcedure="false">Debt_Schedule!$E$18</definedName>
    <definedName function="false" hidden="false" name="DS_Rev_Close_Y3" vbProcedure="false">Debt_Schedule!$F$18</definedName>
    <definedName function="false" hidden="false" name="DS_Rev_Close_Y4" vbProcedure="false">Debt_Schedule!$G$18</definedName>
    <definedName function="false" hidden="false" name="DS_Rev_Close_Y5" vbProcedure="false">Debt_Schedule!$H$18</definedName>
    <definedName function="false" hidden="false" name="DS_Rev_Draw_Y1" vbProcedure="false">Debt_Schedule!$D$16</definedName>
    <definedName function="false" hidden="false" name="DS_Rev_Draw_Y2" vbProcedure="false">Debt_Schedule!$E$16</definedName>
    <definedName function="false" hidden="false" name="DS_Rev_Draw_Y3" vbProcedure="false">Debt_Schedule!$F$16</definedName>
    <definedName function="false" hidden="false" name="DS_Rev_Draw_Y4" vbProcedure="false">Debt_Schedule!$G$16</definedName>
    <definedName function="false" hidden="false" name="DS_Rev_Draw_Y5" vbProcedure="false">Debt_Schedule!$H$16</definedName>
    <definedName function="false" hidden="false" name="DS_Rev_Interest_Y1" vbProcedure="false">Debt_Schedule!$D$19</definedName>
    <definedName function="false" hidden="false" name="DS_Rev_Interest_Y2" vbProcedure="false">Debt_Schedule!$E$19</definedName>
    <definedName function="false" hidden="false" name="DS_Rev_Interest_Y3" vbProcedure="false">Debt_Schedule!$F$19</definedName>
    <definedName function="false" hidden="false" name="DS_Rev_Interest_Y4" vbProcedure="false">Debt_Schedule!$G$19</definedName>
    <definedName function="false" hidden="false" name="DS_Rev_Interest_Y5" vbProcedure="false">Debt_Schedule!$H$19</definedName>
    <definedName function="false" hidden="false" name="DS_Rev_Repay_Y1" vbProcedure="false">Debt_Schedule!$D$17</definedName>
    <definedName function="false" hidden="false" name="DS_Rev_Repay_Y2" vbProcedure="false">Debt_Schedule!$E$17</definedName>
    <definedName function="false" hidden="false" name="DS_Rev_Repay_Y3" vbProcedure="false">Debt_Schedule!$F$17</definedName>
    <definedName function="false" hidden="false" name="DS_Rev_Repay_Y4" vbProcedure="false">Debt_Schedule!$G$17</definedName>
    <definedName function="false" hidden="false" name="DS_Rev_Repay_Y5" vbProcedure="false">Debt_Schedule!$H$17</definedName>
    <definedName function="false" hidden="false" name="DS_Total_Interest_Y1" vbProcedure="false">Debt_Schedule!$D$22</definedName>
    <definedName function="false" hidden="false" name="DS_Total_Interest_Y2" vbProcedure="false">Debt_Schedule!$E$22</definedName>
    <definedName function="false" hidden="false" name="DS_Total_Interest_Y3" vbProcedure="false">Debt_Schedule!$F$22</definedName>
    <definedName function="false" hidden="false" name="DS_Total_Interest_Y4" vbProcedure="false">Debt_Schedule!$G$22</definedName>
    <definedName function="false" hidden="false" name="DS_Total_Interest_Y5" vbProcedure="false">Debt_Schedule!$H$22</definedName>
    <definedName function="false" hidden="false" name="Eq_Thickness" vbProcedure="false">Assumptions!$C$28</definedName>
    <definedName function="false" hidden="false" name="Fuel_Price" vbProcedure="false">Assumptions!$C$16</definedName>
    <definedName function="false" hidden="false" name="Growth_Capex" vbProcedure="false">Assumptions!$C$21</definedName>
    <definedName function="false" hidden="false" name="Heat_Rate" vbProcedure="false">Assumptions!$C$15</definedName>
    <definedName function="false" hidden="false" name="IS_AP_Y1" vbProcedure="false">Income_Statement!$D$27</definedName>
    <definedName function="false" hidden="false" name="IS_AP_Y2" vbProcedure="false">Income_Statement!$E$27</definedName>
    <definedName function="false" hidden="false" name="IS_AP_Y3" vbProcedure="false">Income_Statement!$F$27</definedName>
    <definedName function="false" hidden="false" name="IS_AP_Y4" vbProcedure="false">Income_Statement!$G$27</definedName>
    <definedName function="false" hidden="false" name="IS_AP_Y5" vbProcedure="false">Income_Statement!$H$27</definedName>
    <definedName function="false" hidden="false" name="IS_AR_Y1" vbProcedure="false">Income_Statement!$D$26</definedName>
    <definedName function="false" hidden="false" name="IS_AR_Y2" vbProcedure="false">Income_Statement!$E$26</definedName>
    <definedName function="false" hidden="false" name="IS_AR_Y3" vbProcedure="false">Income_Statement!$F$26</definedName>
    <definedName function="false" hidden="false" name="IS_AR_Y4" vbProcedure="false">Income_Statement!$G$26</definedName>
    <definedName function="false" hidden="false" name="IS_AR_Y5" vbProcedure="false">Income_Statement!$H$26</definedName>
    <definedName function="false" hidden="false" name="IS_Depr_Y1" vbProcedure="false">Income_Statement!$D$14</definedName>
    <definedName function="false" hidden="false" name="IS_Depr_Y2" vbProcedure="false">Income_Statement!$E$14</definedName>
    <definedName function="false" hidden="false" name="IS_Depr_Y3" vbProcedure="false">Income_Statement!$F$14</definedName>
    <definedName function="false" hidden="false" name="IS_Depr_Y4" vbProcedure="false">Income_Statement!$G$14</definedName>
    <definedName function="false" hidden="false" name="IS_Depr_Y5" vbProcedure="false">Income_Statement!$H$14</definedName>
    <definedName function="false" hidden="false" name="IS_Divs_Y1" vbProcedure="false">Income_Statement!$D$22</definedName>
    <definedName function="false" hidden="false" name="IS_Divs_Y2" vbProcedure="false">Income_Statement!$E$22</definedName>
    <definedName function="false" hidden="false" name="IS_Divs_Y3" vbProcedure="false">Income_Statement!$F$22</definedName>
    <definedName function="false" hidden="false" name="IS_Divs_Y4" vbProcedure="false">Income_Statement!$G$22</definedName>
    <definedName function="false" hidden="false" name="IS_Divs_Y5" vbProcedure="false">Income_Statement!$H$22</definedName>
    <definedName function="false" hidden="false" name="IS_EBITDA_Y1" vbProcedure="false">Income_Statement!$D$23</definedName>
    <definedName function="false" hidden="false" name="IS_EBITDA_Y2" vbProcedure="false">Income_Statement!$E$23</definedName>
    <definedName function="false" hidden="false" name="IS_EBITDA_Y3" vbProcedure="false">Income_Statement!$F$23</definedName>
    <definedName function="false" hidden="false" name="IS_EBITDA_Y4" vbProcedure="false">Income_Statement!$G$23</definedName>
    <definedName function="false" hidden="false" name="IS_EBITDA_Y5" vbProcedure="false">Income_Statement!$H$23</definedName>
    <definedName function="false" hidden="false" name="IS_EBIT_Y1" vbProcedure="false">Income_Statement!$D$17</definedName>
    <definedName function="false" hidden="false" name="IS_EBIT_Y2" vbProcedure="false">Income_Statement!$E$17</definedName>
    <definedName function="false" hidden="false" name="IS_EBIT_Y3" vbProcedure="false">Income_Statement!$F$17</definedName>
    <definedName function="false" hidden="false" name="IS_EBIT_Y4" vbProcedure="false">Income_Statement!$G$17</definedName>
    <definedName function="false" hidden="false" name="IS_EBIT_Y5" vbProcedure="false">Income_Statement!$H$17</definedName>
    <definedName function="false" hidden="false" name="IS_EBT_Y1" vbProcedure="false">Income_Statement!$D$19</definedName>
    <definedName function="false" hidden="false" name="IS_EBT_Y2" vbProcedure="false">Income_Statement!$E$19</definedName>
    <definedName function="false" hidden="false" name="IS_EBT_Y3" vbProcedure="false">Income_Statement!$F$19</definedName>
    <definedName function="false" hidden="false" name="IS_EBT_Y4" vbProcedure="false">Income_Statement!$G$19</definedName>
    <definedName function="false" hidden="false" name="IS_EBT_Y5" vbProcedure="false">Income_Statement!$H$19</definedName>
    <definedName function="false" hidden="false" name="IS_Equity_Y1" vbProcedure="false">Income_Statement!$D$33</definedName>
    <definedName function="false" hidden="false" name="IS_Equity_Y2" vbProcedure="false">Income_Statement!$E$33</definedName>
    <definedName function="false" hidden="false" name="IS_Equity_Y3" vbProcedure="false">Income_Statement!$F$33</definedName>
    <definedName function="false" hidden="false" name="IS_Equity_Y4" vbProcedure="false">Income_Statement!$G$33</definedName>
    <definedName function="false" hidden="false" name="IS_Equity_Y5" vbProcedure="false">Income_Statement!$H$33</definedName>
    <definedName function="false" hidden="false" name="IS_Fuel_Cost_Y1" vbProcedure="false">Income_Statement!$D$12</definedName>
    <definedName function="false" hidden="false" name="IS_Fuel_Cost_Y2" vbProcedure="false">Income_Statement!$E$12</definedName>
    <definedName function="false" hidden="false" name="IS_Fuel_Cost_Y3" vbProcedure="false">Income_Statement!$F$12</definedName>
    <definedName function="false" hidden="false" name="IS_Fuel_Cost_Y4" vbProcedure="false">Income_Statement!$G$12</definedName>
    <definedName function="false" hidden="false" name="IS_Fuel_Cost_Y5" vbProcedure="false">Income_Statement!$H$12</definedName>
    <definedName function="false" hidden="false" name="IS_Fuel_Rev_Y1" vbProcedure="false">Income_Statement!$D$10</definedName>
    <definedName function="false" hidden="false" name="IS_Fuel_Rev_Y2" vbProcedure="false">Income_Statement!$E$10</definedName>
    <definedName function="false" hidden="false" name="IS_Fuel_Rev_Y3" vbProcedure="false">Income_Statement!$F$10</definedName>
    <definedName function="false" hidden="false" name="IS_Fuel_Rev_Y4" vbProcedure="false">Income_Statement!$G$10</definedName>
    <definedName function="false" hidden="false" name="IS_Fuel_Rev_Y5" vbProcedure="false">Income_Statement!$H$10</definedName>
    <definedName function="false" hidden="false" name="IS_Interest_Y1" vbProcedure="false">Income_Statement!$D$18</definedName>
    <definedName function="false" hidden="false" name="IS_Interest_Y2" vbProcedure="false">Income_Statement!$E$18</definedName>
    <definedName function="false" hidden="false" name="IS_Interest_Y3" vbProcedure="false">Income_Statement!$F$18</definedName>
    <definedName function="false" hidden="false" name="IS_Interest_Y4" vbProcedure="false">Income_Statement!$G$18</definedName>
    <definedName function="false" hidden="false" name="IS_Interest_Y5" vbProcedure="false">Income_Statement!$H$18</definedName>
    <definedName function="false" hidden="false" name="IS_NI_Y1" vbProcedure="false">Income_Statement!$D$21</definedName>
    <definedName function="false" hidden="false" name="IS_NI_Y2" vbProcedure="false">Income_Statement!$E$21</definedName>
    <definedName function="false" hidden="false" name="IS_NI_Y3" vbProcedure="false">Income_Statement!$F$21</definedName>
    <definedName function="false" hidden="false" name="IS_NI_Y4" vbProcedure="false">Income_Statement!$G$21</definedName>
    <definedName function="false" hidden="false" name="IS_NI_Y5" vbProcedure="false">Income_Statement!$H$21</definedName>
    <definedName function="false" hidden="false" name="IS_OM_Y1" vbProcedure="false">Income_Statement!$D$13</definedName>
    <definedName function="false" hidden="false" name="IS_OM_Y2" vbProcedure="false">Income_Statement!$E$13</definedName>
    <definedName function="false" hidden="false" name="IS_OM_Y3" vbProcedure="false">Income_Statement!$F$13</definedName>
    <definedName function="false" hidden="false" name="IS_OM_Y4" vbProcedure="false">Income_Statement!$G$13</definedName>
    <definedName function="false" hidden="false" name="IS_OM_Y5" vbProcedure="false">Income_Statement!$H$13</definedName>
    <definedName function="false" hidden="false" name="IS_Tax_Y1" vbProcedure="false">Income_Statement!$D$20</definedName>
    <definedName function="false" hidden="false" name="IS_Tax_Y2" vbProcedure="false">Income_Statement!$E$20</definedName>
    <definedName function="false" hidden="false" name="IS_Tax_Y3" vbProcedure="false">Income_Statement!$F$20</definedName>
    <definedName function="false" hidden="false" name="IS_Tax_Y4" vbProcedure="false">Income_Statement!$G$20</definedName>
    <definedName function="false" hidden="false" name="IS_Tax_Y5" vbProcedure="false">Income_Statement!$H$20</definedName>
    <definedName function="false" hidden="false" name="IS_Total_Rev_Y1" vbProcedure="false">Income_Statement!$D$8</definedName>
    <definedName function="false" hidden="false" name="IS_Total_Rev_Y2" vbProcedure="false">Income_Statement!$E$8</definedName>
    <definedName function="false" hidden="false" name="IS_Total_Rev_Y3" vbProcedure="false">Income_Statement!$F$8</definedName>
    <definedName function="false" hidden="false" name="IS_Total_Rev_Y4" vbProcedure="false">Income_Statement!$G$8</definedName>
    <definedName function="false" hidden="false" name="IS_Total_Rev_Y5" vbProcedure="false">Income_Statement!$H$8</definedName>
    <definedName function="false" hidden="false" name="LT_Debt_Repayment" vbProcedure="false">Assumptions!$C$36</definedName>
    <definedName function="false" hidden="false" name="Maint_Capex_Factor" vbProcedure="false">Assumptions!$C$23</definedName>
    <definedName function="false" hidden="false" name="Maint_Capex_Rate" vbProcedure="false">Assumptions!$C$22</definedName>
    <definedName function="false" hidden="false" name="Min_Cash" vbProcedure="false">Assumptions!$C$34</definedName>
    <definedName function="false" hidden="false" name="OM_Base" vbProcedure="false">Assumptions!$C$18</definedName>
    <definedName function="false" hidden="false" name="OM_Escalation" vbProcedure="false">Assumptions!$C$19</definedName>
    <definedName function="false" hidden="false" name="Opening_Accum_Depr" vbProcedure="false">Assumptions!$C$8</definedName>
    <definedName function="false" hidden="false" name="Opening_Cash" vbProcedure="false">Assumptions!$C$12</definedName>
    <definedName function="false" hidden="false" name="Opening_Equity" vbProcedure="false">Assumptions!$C$11</definedName>
    <definedName function="false" hidden="false" name="Opening_Gross_PPE" vbProcedure="false">Assumptions!$C$7</definedName>
    <definedName function="false" hidden="false" name="Opening_LT_Debt" vbProcedure="false">Assumptions!$C$10</definedName>
    <definedName function="false" hidden="false" name="Opening_Net_PPE" vbProcedure="false">Assumptions!$C$9</definedName>
    <definedName function="false" hidden="false" name="Opex_Total_OM_Y1" vbProcedure="false">Opex!$D$14</definedName>
    <definedName function="false" hidden="false" name="Opex_Total_OM_Y2" vbProcedure="false">Opex!$E$14</definedName>
    <definedName function="false" hidden="false" name="Opex_Total_OM_Y3" vbProcedure="false">Opex!$F$14</definedName>
    <definedName function="false" hidden="false" name="Opex_Total_OM_Y4" vbProcedure="false">Opex!$G$14</definedName>
    <definedName function="false" hidden="false" name="Opex_Total_OM_Y5" vbProcedure="false">Opex!$H$14</definedName>
    <definedName function="false" hidden="false" name="RB_Allowed_Return_Y1" vbProcedure="false">Rate_Base!$D$16</definedName>
    <definedName function="false" hidden="false" name="RB_Allowed_Return_Y2" vbProcedure="false">Rate_Base!$E$16</definedName>
    <definedName function="false" hidden="false" name="RB_Allowed_Return_Y3" vbProcedure="false">Rate_Base!$F$16</definedName>
    <definedName function="false" hidden="false" name="RB_Allowed_Return_Y4" vbProcedure="false">Rate_Base!$G$16</definedName>
    <definedName function="false" hidden="false" name="RB_Allowed_Return_Y5" vbProcedure="false">Rate_Base!$H$16</definedName>
    <definedName function="false" hidden="false" name="RB_Avg_Rate_Base_Y1" vbProcedure="false">Rate_Base!$D$13</definedName>
    <definedName function="false" hidden="false" name="RB_Avg_Rate_Base_Y2" vbProcedure="false">Rate_Base!$E$13</definedName>
    <definedName function="false" hidden="false" name="RB_Avg_Rate_Base_Y3" vbProcedure="false">Rate_Base!$F$13</definedName>
    <definedName function="false" hidden="false" name="RB_Avg_Rate_Base_Y4" vbProcedure="false">Rate_Base!$G$13</definedName>
    <definedName function="false" hidden="false" name="RB_Avg_Rate_Base_Y5" vbProcedure="false">Rate_Base!$H$13</definedName>
    <definedName function="false" hidden="false" name="RB_Close_Net_PPE_Y1" vbProcedure="false">Rate_Base!$D$11</definedName>
    <definedName function="false" hidden="false" name="RB_Close_Net_PPE_Y2" vbProcedure="false">Rate_Base!$E$11</definedName>
    <definedName function="false" hidden="false" name="RB_Close_Net_PPE_Y3" vbProcedure="false">Rate_Base!$F$11</definedName>
    <definedName function="false" hidden="false" name="RB_Close_Net_PPE_Y4" vbProcedure="false">Rate_Base!$G$11</definedName>
    <definedName function="false" hidden="false" name="RB_Close_Net_PPE_Y5" vbProcedure="false">Rate_Base!$H$11</definedName>
    <definedName function="false" hidden="false" name="Reg_WACC" vbProcedure="false">Assumptions!$C$26</definedName>
    <definedName function="false" hidden="false" name="Revolver_Limit" vbProcedure="false">Assumptions!$C$35</definedName>
    <definedName function="false" hidden="false" name="ROE" vbProcedure="false">Assumptions!$C$27</definedName>
    <definedName function="false" hidden="false" name="RR_Base_Rev_Y1" vbProcedure="false">Revenue_Req!$D$12</definedName>
    <definedName function="false" hidden="false" name="RR_Base_Rev_Y2" vbProcedure="false">Revenue_Req!$E$12</definedName>
    <definedName function="false" hidden="false" name="RR_Base_Rev_Y3" vbProcedure="false">Revenue_Req!$F$12</definedName>
    <definedName function="false" hidden="false" name="RR_Base_Rev_Y4" vbProcedure="false">Revenue_Req!$G$12</definedName>
    <definedName function="false" hidden="false" name="RR_Base_Rev_Y5" vbProcedure="false">Revenue_Req!$H$12</definedName>
    <definedName function="false" hidden="false" name="RR_Depr_Y1" vbProcedure="false">Revenue_Req!$D$9</definedName>
    <definedName function="false" hidden="false" name="RR_Depr_Y2" vbProcedure="false">Revenue_Req!$E$9</definedName>
    <definedName function="false" hidden="false" name="RR_Depr_Y3" vbProcedure="false">Revenue_Req!$F$9</definedName>
    <definedName function="false" hidden="false" name="RR_Depr_Y4" vbProcedure="false">Revenue_Req!$G$9</definedName>
    <definedName function="false" hidden="false" name="RR_Depr_Y5" vbProcedure="false">Revenue_Req!$H$9</definedName>
    <definedName function="false" hidden="false" name="RR_Fuel_Rev_Y1" vbProcedure="false">Revenue_Req!$D$14</definedName>
    <definedName function="false" hidden="false" name="RR_Fuel_Rev_Y2" vbProcedure="false">Revenue_Req!$E$14</definedName>
    <definedName function="false" hidden="false" name="RR_Fuel_Rev_Y3" vbProcedure="false">Revenue_Req!$F$14</definedName>
    <definedName function="false" hidden="false" name="RR_Fuel_Rev_Y4" vbProcedure="false">Revenue_Req!$G$14</definedName>
    <definedName function="false" hidden="false" name="RR_Fuel_Rev_Y5" vbProcedure="false">Revenue_Req!$H$14</definedName>
    <definedName function="false" hidden="false" name="RR_OM_Y1" vbProcedure="false">Revenue_Req!$D$8</definedName>
    <definedName function="false" hidden="false" name="RR_OM_Y2" vbProcedure="false">Revenue_Req!$E$8</definedName>
    <definedName function="false" hidden="false" name="RR_OM_Y3" vbProcedure="false">Revenue_Req!$F$8</definedName>
    <definedName function="false" hidden="false" name="RR_OM_Y4" vbProcedure="false">Revenue_Req!$G$8</definedName>
    <definedName function="false" hidden="false" name="RR_OM_Y5" vbProcedure="false">Revenue_Req!$H$8</definedName>
    <definedName function="false" hidden="false" name="RR_Return_Y1" vbProcedure="false">Revenue_Req!$D$11</definedName>
    <definedName function="false" hidden="false" name="RR_Return_Y2" vbProcedure="false">Revenue_Req!$E$11</definedName>
    <definedName function="false" hidden="false" name="RR_Return_Y3" vbProcedure="false">Revenue_Req!$F$11</definedName>
    <definedName function="false" hidden="false" name="RR_Return_Y4" vbProcedure="false">Revenue_Req!$G$11</definedName>
    <definedName function="false" hidden="false" name="RR_Return_Y5" vbProcedure="false">Revenue_Req!$H$11</definedName>
    <definedName function="false" hidden="false" name="RR_Tax_Y1" vbProcedure="false">Revenue_Req!$D$10</definedName>
    <definedName function="false" hidden="false" name="RR_Tax_Y2" vbProcedure="false">Revenue_Req!$E$10</definedName>
    <definedName function="false" hidden="false" name="RR_Tax_Y3" vbProcedure="false">Revenue_Req!$F$10</definedName>
    <definedName function="false" hidden="false" name="RR_Tax_Y4" vbProcedure="false">Revenue_Req!$G$10</definedName>
    <definedName function="false" hidden="false" name="RR_Tax_Y5" vbProcedure="false">Revenue_Req!$H$10</definedName>
    <definedName function="false" hidden="false" name="RR_Total_Rev_Y1" vbProcedure="false">Revenue_Req!$D$15</definedName>
    <definedName function="false" hidden="false" name="RR_Total_Rev_Y2" vbProcedure="false">Revenue_Req!$E$15</definedName>
    <definedName function="false" hidden="false" name="RR_Total_Rev_Y3" vbProcedure="false">Revenue_Req!$F$15</definedName>
    <definedName function="false" hidden="false" name="RR_Total_Rev_Y4" vbProcedure="false">Revenue_Req!$G$15</definedName>
    <definedName function="false" hidden="false" name="RR_Total_Rev_Y5" vbProcedure="false">Revenue_Req!$H$15</definedName>
    <definedName function="false" hidden="false" name="Tax_Rate" vbProcedure="false">Assumptions!$C$30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<sst xmlns="http://schemas.openxmlformats.org/spreadsheetml/2006/main" count="326" uniqueCount="250">
  <si>
    <t xml:space="preserve">Regulated Electric Utility — Financial Model</t>
  </si>
  <si>
    <t xml:space="preserve">FINAMODEL.com</t>
  </si>
  <si>
    <t xml:space="preserve">5-Year Planning Model  |  Year 0 + Years 1–5</t>
  </si>
  <si>
    <t xml:space="preserve">Prepared by:</t>
  </si>
  <si>
    <t xml:space="preserve">Date:</t>
  </si>
  <si>
    <t xml:space="preserve">Sheet Directory</t>
  </si>
  <si>
    <t xml:space="preserve">Cover</t>
  </si>
  <si>
    <t xml:space="preserve">Title page and model directory</t>
  </si>
  <si>
    <t xml:space="preserve">Assumptions</t>
  </si>
  <si>
    <t xml:space="preserve">All single-cell inputs and opening balances</t>
  </si>
  <si>
    <t xml:space="preserve">Capex_Depr</t>
  </si>
  <si>
    <t xml:space="preserve">Maintenance capex + vintage depreciation</t>
  </si>
  <si>
    <t xml:space="preserve">Rate_Base</t>
  </si>
  <si>
    <t xml:space="preserve">PP&amp;E roll-forward, avg rate base, allowed return</t>
  </si>
  <si>
    <t xml:space="preserve">Opex</t>
  </si>
  <si>
    <t xml:space="preserve">O&amp;M line items escalated annually</t>
  </si>
  <si>
    <t xml:space="preserve">Revenue_Req</t>
  </si>
  <si>
    <t xml:space="preserve">Revenue requirement build</t>
  </si>
  <si>
    <t xml:space="preserve">Debt_Schedule</t>
  </si>
  <si>
    <t xml:space="preserve">LT bond roll-forward + revolver auto-sweep</t>
  </si>
  <si>
    <t xml:space="preserve">Income_Statement</t>
  </si>
  <si>
    <t xml:space="preserve">Full P&amp;L, WC helpers, equity roll-forward</t>
  </si>
  <si>
    <t xml:space="preserve">Cash_Flow</t>
  </si>
  <si>
    <t xml:space="preserve">Indirect method; pre-rev cash; closing cash</t>
  </si>
  <si>
    <t xml:space="preserve">Checks</t>
  </si>
  <si>
    <t xml:space="preserve">BS balance, credit metrics, fuel parity</t>
  </si>
  <si>
    <t xml:space="preserve">About this model</t>
  </si>
  <si>
    <t xml:space="preserve">Model a regulated electric utility's revenue requirement using a cost-plus regulatory formula: Revenue Requirement = O&amp;M Expense + Book Depreciation + Recoverable Income Tax + Allowed Return on Rate Base. The rate base is the net book value of utility assets (PP&amp;E); the allowed return is the regulatory WACC (typically 50% debt at 5%, 50% equity at 9.5%, implying 7.25% blended WACC). Fuel costs are fully passed through at zero margin.
The model projects 5-year cash flows for a mid-size IOU with $18B opening gross PP&amp;E and $12M annual MWh sales. Capex grows the rate base (growth capex $500M + maintenance capex at 2% of opening net PP&amp;E); depreciation is straight-line over 40 years. Key outputs: allowed net income, earned ROE, and cash flow after debt service and dividend distributions. Utilities typically pay out 60â80% of earnings as dividends, creating structural negative free cash flow that is funded by continuous debt and equity issuance.
Margin profile: EBITDA margin 35â45% (high due to cost-plus regulation), EBIT margin 15â25% (reduced by heavy depreciation), net margin 8â15%. FFO/Debt of 13â18% is the credit rating threshold. This model is foundational for utility valuations and regulatory case analysis; comparable companies (NextEra, Duke, Southern Company) trade at 12â16x P/E due to predictable earnings and dividend growth.</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</si>
  <si>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</si>
  <si>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</si>
  <si>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</si>
  <si>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</si>
  <si>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Single-cell named inputs</t>
  </si>
  <si>
    <t xml:space="preserve">Parameter</t>
  </si>
  <si>
    <t xml:space="preserve">Value</t>
  </si>
  <si>
    <t xml:space="preserve">Unit</t>
  </si>
  <si>
    <t xml:space="preserve">Notes</t>
  </si>
  <si>
    <t xml:space="preserve">[Scenario toggle — reserved]</t>
  </si>
  <si>
    <t xml:space="preserve">Opening Balance Sheet Inputs</t>
  </si>
  <si>
    <t xml:space="preserve">Opening Gross PP&amp;E</t>
  </si>
  <si>
    <t xml:space="preserve">$M</t>
  </si>
  <si>
    <t xml:space="preserve">Opening gross PP&amp;E</t>
  </si>
  <si>
    <t xml:space="preserve">Opening Accum Depr</t>
  </si>
  <si>
    <t xml:space="preserve">Opening accumulated depreciation</t>
  </si>
  <si>
    <t xml:space="preserve">Opening Net PP&amp;E</t>
  </si>
  <si>
    <t xml:space="preserve">Formula: Gross − Accum</t>
  </si>
  <si>
    <t xml:space="preserve">Opening LT Debt</t>
  </si>
  <si>
    <t xml:space="preserve">Opening long-term bonds</t>
  </si>
  <si>
    <t xml:space="preserve">Opening Equity</t>
  </si>
  <si>
    <t xml:space="preserve">Opening equity</t>
  </si>
  <si>
    <t xml:space="preserve">Opening Cash</t>
  </si>
  <si>
    <t xml:space="preserve">Zero opening cash — funded by equity + LT debt</t>
  </si>
  <si>
    <t xml:space="preserve">Fuel &amp; Volume Assumptions</t>
  </si>
  <si>
    <t xml:space="preserve">Annual MWh</t>
  </si>
  <si>
    <t xml:space="preserve">MWh</t>
  </si>
  <si>
    <t xml:space="preserve">Annual retail sales</t>
  </si>
  <si>
    <t xml:space="preserve">Heat Rate</t>
  </si>
  <si>
    <t xml:space="preserve">BTU/kWh</t>
  </si>
  <si>
    <t xml:space="preserve">Blended generation fleet</t>
  </si>
  <si>
    <t xml:space="preserve">Fuel Price</t>
  </si>
  <si>
    <t xml:space="preserve">$/MMBtu</t>
  </si>
  <si>
    <t xml:space="preserve">Henry Hub mid-cycle</t>
  </si>
  <si>
    <t xml:space="preserve">Operating Expense Assumptions</t>
  </si>
  <si>
    <t xml:space="preserve">O&amp;M Base (Y1)</t>
  </si>
  <si>
    <t xml:space="preserve">Base Year 1 O&amp;M</t>
  </si>
  <si>
    <t xml:space="preserve">O&amp;M Escalation</t>
  </si>
  <si>
    <t xml:space="preserve">decimal</t>
  </si>
  <si>
    <t xml:space="preserve">Annual O&amp;M escalation</t>
  </si>
  <si>
    <t xml:space="preserve">Capex &amp; Depreciation Assumptions</t>
  </si>
  <si>
    <t xml:space="preserve">Growth Capex</t>
  </si>
  <si>
    <t xml:space="preserve">$M/yr</t>
  </si>
  <si>
    <t xml:space="preserve">Annual growth capex (flat)</t>
  </si>
  <si>
    <t xml:space="preserve">Maint Capex Rate</t>
  </si>
  <si>
    <t xml:space="preserve">% of opening net PP&amp;E (Y1 only)</t>
  </si>
  <si>
    <t xml:space="preserve">Maint Capex Factor</t>
  </si>
  <si>
    <t xml:space="preserve">multiplier</t>
  </si>
  <si>
    <t xml:space="preserve">x prior year total D&amp;A (Y2-5)</t>
  </si>
  <si>
    <t xml:space="preserve">Asset Life</t>
  </si>
  <si>
    <t xml:space="preserve">years</t>
  </si>
  <si>
    <t xml:space="preserve">Regulatory straight-line</t>
  </si>
  <si>
    <t xml:space="preserve">Regulatory &amp; Capital Structure</t>
  </si>
  <si>
    <t xml:space="preserve">Reg WACC</t>
  </si>
  <si>
    <t xml:space="preserve">Formula cell</t>
  </si>
  <si>
    <t xml:space="preserve">ROE (Allowed)</t>
  </si>
  <si>
    <t xml:space="preserve">Allowed return on equity</t>
  </si>
  <si>
    <t xml:space="preserve">Eq Thickness</t>
  </si>
  <si>
    <t xml:space="preserve">Regulatory equity layer</t>
  </si>
  <si>
    <t xml:space="preserve">Cost of Debt</t>
  </si>
  <si>
    <t xml:space="preserve">Long-term bond yield</t>
  </si>
  <si>
    <t xml:space="preserve">Tax Rate</t>
  </si>
  <si>
    <t xml:space="preserve">US federal corporate rate</t>
  </si>
  <si>
    <t xml:space="preserve">Dividend &amp; Cash Management</t>
  </si>
  <si>
    <t xml:space="preserve">Dividend Payout</t>
  </si>
  <si>
    <t xml:space="preserve">Payout ratio applied to NI</t>
  </si>
  <si>
    <t xml:space="preserve">Cash Management</t>
  </si>
  <si>
    <t xml:space="preserve">Min Cash</t>
  </si>
  <si>
    <t xml:space="preserve">Revolver trigger floor</t>
  </si>
  <si>
    <t xml:space="preserve">Revolver Limit</t>
  </si>
  <si>
    <t xml:space="preserve">Maximum revolver capacity</t>
  </si>
  <si>
    <t xml:space="preserve">LT Debt Repayment</t>
  </si>
  <si>
    <t xml:space="preserve">Annual scheduled bond repayment</t>
  </si>
  <si>
    <t xml:space="preserve">Commit Fee Rate</t>
  </si>
  <si>
    <t xml:space="preserve">25 bps on undrawn revolver</t>
  </si>
  <si>
    <t xml:space="preserve">Working Capital</t>
  </si>
  <si>
    <t xml:space="preserve">DSO</t>
  </si>
  <si>
    <t xml:space="preserve">days</t>
  </si>
  <si>
    <t xml:space="preserve">Days sales outstanding</t>
  </si>
  <si>
    <t xml:space="preserve">DPO</t>
  </si>
  <si>
    <t xml:space="preserve">Days payable outstanding</t>
  </si>
  <si>
    <t xml:space="preserve">Capex &amp; Depreciation</t>
  </si>
  <si>
    <t xml:space="preserve">Vintage straight-line D&amp;A</t>
  </si>
  <si>
    <t xml:space="preserve">Year 0</t>
  </si>
  <si>
    <t xml:space="preserve">Year 1</t>
  </si>
  <si>
    <t xml:space="preserve">Year 2</t>
  </si>
  <si>
    <t xml:space="preserve">Year 3</t>
  </si>
  <si>
    <t xml:space="preserve">Year 4</t>
  </si>
  <si>
    <t xml:space="preserve">Year 5</t>
  </si>
  <si>
    <t xml:space="preserve">Year #</t>
  </si>
  <si>
    <t xml:space="preserve">Capital Expenditure</t>
  </si>
  <si>
    <t xml:space="preserve">  Growth Capex</t>
  </si>
  <si>
    <t xml:space="preserve">  Maint Capex</t>
  </si>
  <si>
    <t xml:space="preserve">Total Capex</t>
  </si>
  <si>
    <t xml:space="preserve">Vintage Depreciation Schedule (straight-line, Asset_Life=40yr)</t>
  </si>
  <si>
    <t xml:space="preserve">  Depr — Existing Assets</t>
  </si>
  <si>
    <t xml:space="preserve">  Depr — Y1 Capex</t>
  </si>
  <si>
    <t xml:space="preserve">  Depr — Y2 Capex</t>
  </si>
  <si>
    <t xml:space="preserve">  Depr — Y3 Capex</t>
  </si>
  <si>
    <t xml:space="preserve">  Depr — Y4 Capex</t>
  </si>
  <si>
    <t xml:space="preserve">  Depr — Y5 Capex</t>
  </si>
  <si>
    <t xml:space="preserve">Total Depr</t>
  </si>
  <si>
    <t xml:space="preserve">Rate Base</t>
  </si>
  <si>
    <t xml:space="preserve">Net PP&amp;E roll-forward, allowed return</t>
  </si>
  <si>
    <t xml:space="preserve">Net PP&amp;E Roll-Forward</t>
  </si>
  <si>
    <t xml:space="preserve">  + Total Capex</t>
  </si>
  <si>
    <t xml:space="preserve">  − Total Depr</t>
  </si>
  <si>
    <t xml:space="preserve">Closing Net PP&amp;E</t>
  </si>
  <si>
    <t xml:space="preserve">Allowed Return</t>
  </si>
  <si>
    <t xml:space="preserve">Avg Rate Base</t>
  </si>
  <si>
    <t xml:space="preserve">Operating Expenses</t>
  </si>
  <si>
    <t xml:space="preserve">O&amp;M line items, escalated</t>
  </si>
  <si>
    <t xml:space="preserve">O&amp;M Components</t>
  </si>
  <si>
    <t xml:space="preserve">  Labour &amp; Benefits</t>
  </si>
  <si>
    <t xml:space="preserve">  Maintenance Contracts</t>
  </si>
  <si>
    <t xml:space="preserve">  Insurance</t>
  </si>
  <si>
    <t xml:space="preserve">  Admin &amp; General</t>
  </si>
  <si>
    <t xml:space="preserve">  Technology / Systems</t>
  </si>
  <si>
    <t xml:space="preserve">  Regulatory &amp; Compliance</t>
  </si>
  <si>
    <t xml:space="preserve">Total O&amp;M</t>
  </si>
  <si>
    <t xml:space="preserve">Revenue Requirement</t>
  </si>
  <si>
    <t xml:space="preserve">Cost-of-service build</t>
  </si>
  <si>
    <t xml:space="preserve">Revenue Requirement Components</t>
  </si>
  <si>
    <t xml:space="preserve">  O&amp;M Expense</t>
  </si>
  <si>
    <t xml:space="preserve">  Book Depr</t>
  </si>
  <si>
    <t xml:space="preserve">  Income Tax (RR)</t>
  </si>
  <si>
    <t xml:space="preserve">  Return on Rate Base</t>
  </si>
  <si>
    <t xml:space="preserve">Base Rate Revenue</t>
  </si>
  <si>
    <t xml:space="preserve">Fuel Pass-Through</t>
  </si>
  <si>
    <t xml:space="preserve">  Fuel Revenue</t>
  </si>
  <si>
    <t xml:space="preserve">Total Revenue</t>
  </si>
  <si>
    <t xml:space="preserve">Debt Schedule</t>
  </si>
  <si>
    <t xml:space="preserve">LT bonds + revolver</t>
  </si>
  <si>
    <t xml:space="preserve">Section A: Long-Term Bonds</t>
  </si>
  <si>
    <t xml:space="preserve">  Repayment</t>
  </si>
  <si>
    <t xml:space="preserve">Closing LT Debt</t>
  </si>
  <si>
    <t xml:space="preserve">  Interest — LT Bonds</t>
  </si>
  <si>
    <t xml:space="preserve">  New Bond Issuance</t>
  </si>
  <si>
    <t xml:space="preserve">Section B: Revolver [populated after Cash_Flow]</t>
  </si>
  <si>
    <t xml:space="preserve">Opening Revolver</t>
  </si>
  <si>
    <t xml:space="preserve">Pre-Rev Cash</t>
  </si>
  <si>
    <t xml:space="preserve">  Revolver Draw</t>
  </si>
  <si>
    <t xml:space="preserve">  Revolver Repay</t>
  </si>
  <si>
    <t xml:space="preserve">Closing Revolver</t>
  </si>
  <si>
    <t xml:space="preserve">  Interest — Revolver</t>
  </si>
  <si>
    <t xml:space="preserve">  Commitment Fee</t>
  </si>
  <si>
    <t xml:space="preserve">Total Interest</t>
  </si>
  <si>
    <t xml:space="preserve">Income Statement</t>
  </si>
  <si>
    <t xml:space="preserve">P&amp;L + WC helpers + equity</t>
  </si>
  <si>
    <t xml:space="preserve">Section A: P&amp;L</t>
  </si>
  <si>
    <t xml:space="preserve">  Base Rate Revenue</t>
  </si>
  <si>
    <t xml:space="preserve">Costs</t>
  </si>
  <si>
    <t xml:space="preserve">  Fuel Cost</t>
  </si>
  <si>
    <t xml:space="preserve">  Book Depreciation</t>
  </si>
  <si>
    <t xml:space="preserve">Total Costs</t>
  </si>
  <si>
    <t xml:space="preserve">EBIT</t>
  </si>
  <si>
    <t xml:space="preserve">  Interest Expense</t>
  </si>
  <si>
    <t xml:space="preserve">EBT</t>
  </si>
  <si>
    <t xml:space="preserve">  Book Tax</t>
  </si>
  <si>
    <t xml:space="preserve">Net Income</t>
  </si>
  <si>
    <t xml:space="preserve">  Dividends</t>
  </si>
  <si>
    <t xml:space="preserve">EBITDA</t>
  </si>
  <si>
    <t xml:space="preserve">Section B: Working Capital Helpers</t>
  </si>
  <si>
    <t xml:space="preserve">  Accounts Receivable</t>
  </si>
  <si>
    <t xml:space="preserve">  Accounts Payable</t>
  </si>
  <si>
    <t xml:space="preserve">Section C: Equity Roll-Forward</t>
  </si>
  <si>
    <t xml:space="preserve">  + Net Income</t>
  </si>
  <si>
    <t xml:space="preserve">  − Dividends</t>
  </si>
  <si>
    <t xml:space="preserve">Closing Equity</t>
  </si>
  <si>
    <t xml:space="preserve">Cash Flow Statement</t>
  </si>
  <si>
    <t xml:space="preserve">Indirect method</t>
  </si>
  <si>
    <t xml:space="preserve">Operating Activities (CFO)</t>
  </si>
  <si>
    <t xml:space="preserve">  Net Income</t>
  </si>
  <si>
    <t xml:space="preserve">  + Depreciation</t>
  </si>
  <si>
    <t xml:space="preserve">  − Δ AR</t>
  </si>
  <si>
    <t xml:space="preserve">  + Δ AP</t>
  </si>
  <si>
    <t xml:space="preserve">CFO</t>
  </si>
  <si>
    <t xml:space="preserve">Investing Activities (CFI)</t>
  </si>
  <si>
    <t xml:space="preserve">  − Total Capex</t>
  </si>
  <si>
    <t xml:space="preserve">CFI</t>
  </si>
  <si>
    <t xml:space="preserve">Financing Activities (CFF — pre-revolver)</t>
  </si>
  <si>
    <t xml:space="preserve">  − Bond Repayment</t>
  </si>
  <si>
    <t xml:space="preserve">  − Dividends Paid</t>
  </si>
  <si>
    <t xml:space="preserve">    + Bond &amp; Equity Proceeds</t>
  </si>
  <si>
    <t xml:space="preserve">Pre-Revolver Cash</t>
  </si>
  <si>
    <t xml:space="preserve">  + Revolver Draw</t>
  </si>
  <si>
    <t xml:space="preserve">  − Revolver Repay</t>
  </si>
  <si>
    <t xml:space="preserve">Total CFF</t>
  </si>
  <si>
    <t xml:space="preserve">Cash Roll-Forward</t>
  </si>
  <si>
    <t xml:space="preserve">Net Change in Cash</t>
  </si>
  <si>
    <t xml:space="preserve">Closing Cash</t>
  </si>
  <si>
    <t xml:space="preserve">Model Checks</t>
  </si>
  <si>
    <t xml:space="preserve">All checks must be TRUE</t>
  </si>
  <si>
    <t xml:space="preserve">Check</t>
  </si>
  <si>
    <t xml:space="preserve">BS Balance (&lt; $1M err)</t>
  </si>
  <si>
    <t xml:space="preserve">Cash &gt;= Min Cash</t>
  </si>
  <si>
    <t xml:space="preserve">Fuel Parity</t>
  </si>
  <si>
    <t xml:space="preserve">Earned ROE vs Allowed</t>
  </si>
  <si>
    <t xml:space="preserve">FFO/Debt &gt;= 13%</t>
  </si>
  <si>
    <t xml:space="preserve">Debt/Cap &lt;= 60%</t>
  </si>
  <si>
    <t xml:space="preserve">Payout &lt;= 100%</t>
  </si>
  <si>
    <t xml:space="preserve">Rev &lt;= Limit</t>
  </si>
  <si>
    <t xml:space="preserve">Equity &gt;= 0</t>
  </si>
  <si>
    <t xml:space="preserve">Avg RB &lt;= Net PP&amp;E</t>
  </si>
  <si>
    <t xml:space="preserve">ALL CHECKS PASS</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</si>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</sst>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7">
    <numFmt numFmtId="164" formatCode="General"/>
    <numFmt numFmtId="165" formatCode="dd\ mmm\ yyyy"/>
    <numFmt numFmtId="166" formatCode="#,##0.00"/>
    <numFmt numFmtId="167" formatCode="#,##0.000"/>
    <numFmt numFmtId="168" formatCode="0.000"/>
    <numFmt numFmtId="169" formatCode="0.000%"/>
    <numFmt numFmtId="170" formatCode="0"/>
  </numFmts>
  <fonts count="26">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0"/>
      <color rgb="FF000000"/>
      <name val="Arial"/>
      <family val="0"/>
      <charset val="1"/>
    </font>
    <font>
      <sz val="10"/>
      <color rgb="FF000000"/>
      <name val="Arial"/>
      <family val="0"/>
      <charset val="1"/>
    </font>
    <font>
      <b val="true"/>
      <sz val="10"/>
      <color theme="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i val="true"/>
      <sz val="10"/>
      <color rgb="FF595959"/>
      <name val="Arial"/>
      <family val="0"/>
      <charset val="1"/>
    </font>
    <font>
      <sz val="10"/>
      <color theme="3"/>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rgb="FFFFF2CC"/>
        <bgColor rgb="FFF2F2F2"/>
      </patternFill>
    </fill>
    <fill>
      <patternFill patternType="solid">
        <fgColor theme="3" tint="0.8"/>
        <bgColor rgb="FFD6E4F0"/>
      </patternFill>
    </fill>
    <fill>
      <patternFill patternType="solid">
        <fgColor rgb="FF1F4E79"/>
        <bgColor rgb="FF1F497D"/>
      </patternFill>
    </fill>
    <fill>
      <patternFill patternType="solid">
        <fgColor rgb="FFF2F2F2"/>
        <bgColor rgb="FFFFFFFF"/>
      </patternFill>
    </fill>
  </fills>
  <borders count="4">
    <border diagonalUp="false" diagonalDown="false">
      <left/>
      <right/>
      <top/>
      <bottom/>
      <diagonal/>
    </border>
    <border diagonalUp="false" diagonalDown="false">
      <left/>
      <right/>
      <top style="double"/>
      <bottom/>
      <diagonal/>
    </border>
    <border diagonalUp="false" diagonalDown="false">
      <left/>
      <right/>
      <top style="thin"/>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left" vertical="center"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3" borderId="0" xfId="0" applyFont="true" applyBorder="false" applyAlignment="true" applyProtection="false">
      <alignment horizontal="left" vertical="center" textRotation="0" wrapText="false" indent="0" shrinkToFit="false"/>
      <protection locked="true" hidden="false"/>
    </xf>
    <xf numFmtId="164" fontId="14" fillId="3"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6" fontId="19" fillId="4" borderId="0" xfId="0" applyFont="true" applyBorder="false" applyAlignment="true" applyProtection="false">
      <alignment horizontal="right" vertical="center" textRotation="0" wrapText="false" indent="0" shrinkToFit="false"/>
      <protection locked="true" hidden="false"/>
    </xf>
    <xf numFmtId="167" fontId="19" fillId="4" borderId="0" xfId="0" applyFont="true" applyBorder="false" applyAlignment="true" applyProtection="false">
      <alignment horizontal="right" vertical="center" textRotation="0" wrapText="false" indent="0" shrinkToFit="false"/>
      <protection locked="true" hidden="false"/>
    </xf>
    <xf numFmtId="168" fontId="19" fillId="4" borderId="0" xfId="0" applyFont="true" applyBorder="false" applyAlignment="true" applyProtection="false">
      <alignment horizontal="right" vertical="center" textRotation="0" wrapText="false" indent="0" shrinkToFit="false"/>
      <protection locked="true" hidden="false"/>
    </xf>
    <xf numFmtId="169" fontId="19" fillId="4" borderId="0" xfId="0" applyFont="true" applyBorder="false" applyAlignment="true" applyProtection="false">
      <alignment horizontal="right" vertical="center" textRotation="0" wrapText="false" indent="0" shrinkToFit="false"/>
      <protection locked="true" hidden="false"/>
    </xf>
    <xf numFmtId="164" fontId="12" fillId="2" borderId="0" xfId="0" applyFont="true" applyBorder="false" applyAlignment="true" applyProtection="false">
      <alignment horizontal="center" vertical="center" textRotation="0" wrapText="false" indent="0" shrinkToFit="false"/>
      <protection locked="true" hidden="false"/>
    </xf>
    <xf numFmtId="170" fontId="18" fillId="0" borderId="0" xfId="0" applyFont="true" applyBorder="false" applyAlignment="true" applyProtection="false">
      <alignment horizontal="center" vertical="center" textRotation="0" wrapText="false" indent="0" shrinkToFit="false"/>
      <protection locked="true" hidden="false"/>
    </xf>
    <xf numFmtId="166" fontId="11"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6" fontId="10" fillId="0" borderId="1" xfId="0" applyFont="true" applyBorder="true" applyAlignment="true" applyProtection="false">
      <alignment horizontal="right" vertical="center" textRotation="0" wrapText="false" indent="0" shrinkToFit="false"/>
      <protection locked="true" hidden="false"/>
    </xf>
    <xf numFmtId="169" fontId="18" fillId="0" borderId="0" xfId="0" applyFont="true" applyBorder="false" applyAlignment="true" applyProtection="false">
      <alignment horizontal="right" vertical="center" textRotation="0" wrapText="false" indent="0" shrinkToFit="false"/>
      <protection locked="true" hidden="false"/>
    </xf>
    <xf numFmtId="166" fontId="10" fillId="0" borderId="2" xfId="0" applyFont="true" applyBorder="true" applyAlignment="true" applyProtection="false">
      <alignment horizontal="right" vertical="center" textRotation="0" wrapText="false" indent="0" shrinkToFit="false"/>
      <protection locked="true" hidden="false"/>
    </xf>
    <xf numFmtId="166" fontId="18" fillId="0" borderId="0" xfId="0" applyFont="true" applyBorder="false" applyAlignment="true" applyProtection="false">
      <alignment horizontal="right" vertical="center" textRotation="0" wrapText="false" indent="0" shrinkToFit="false"/>
      <protection locked="true" hidden="false"/>
    </xf>
    <xf numFmtId="166" fontId="10" fillId="0" borderId="0" xfId="0" applyFont="true" applyBorder="false" applyAlignment="true" applyProtection="false">
      <alignment horizontal="right" vertical="center" textRotation="0" wrapText="false" indent="0" shrinkToFit="false"/>
      <protection locked="true" hidden="false"/>
    </xf>
    <xf numFmtId="164" fontId="10" fillId="5" borderId="0" xfId="0" applyFont="true" applyBorder="false" applyAlignment="false" applyProtection="false">
      <alignment horizontal="general" vertical="bottom" textRotation="0" wrapText="false" indent="0" shrinkToFit="false"/>
      <protection locked="true" hidden="false"/>
    </xf>
    <xf numFmtId="164" fontId="10" fillId="5"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64" fontId="21" fillId="6" borderId="0" xfId="0" applyFont="true" applyBorder="false" applyAlignment="true" applyProtection="false">
      <alignment horizontal="left" vertical="center" textRotation="0" wrapText="false" indent="1" shrinkToFit="false"/>
      <protection locked="true" hidden="false"/>
    </xf>
    <xf numFmtId="164" fontId="22" fillId="0"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4" fillId="7"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FF00B05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D6E4F0"/>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1F4E79"/>
      <rgbColor rgb="FF00B050"/>
      <rgbColor rgb="FF375623"/>
      <rgbColor rgb="FF404040"/>
      <rgbColor rgb="FF833C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35"/>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3</v>
      </c>
      <c r="C5" s="6"/>
      <c r="D5" s="6"/>
    </row>
    <row r="6" customFormat="false" ht="15" hidden="false" customHeight="false" outlineLevel="0" collapsed="false">
      <c r="A6" s="6"/>
      <c r="B6" s="7" t="s">
        <v>4</v>
      </c>
      <c r="C6" s="8" t="n">
        <f aca="true">TODAY()</f>
        <v>46157</v>
      </c>
      <c r="D6" s="6"/>
    </row>
    <row r="7" customFormat="false" ht="15" hidden="false" customHeight="false" outlineLevel="0" collapsed="false">
      <c r="A7" s="6"/>
      <c r="B7" s="6"/>
      <c r="C7" s="6"/>
      <c r="D7" s="6"/>
    </row>
    <row r="8" customFormat="false" ht="15" hidden="false" customHeight="false" outlineLevel="0" collapsed="false">
      <c r="A8" s="6"/>
      <c r="B8" s="9" t="s">
        <v>5</v>
      </c>
      <c r="C8" s="10"/>
      <c r="D8" s="10"/>
    </row>
    <row r="9" customFormat="false" ht="15" hidden="false" customHeight="false" outlineLevel="0" collapsed="false">
      <c r="A9" s="6"/>
      <c r="B9" s="7" t="s">
        <v>6</v>
      </c>
      <c r="C9" s="11" t="s">
        <v>7</v>
      </c>
      <c r="D9" s="6"/>
    </row>
    <row r="10" customFormat="false" ht="15" hidden="false" customHeight="false" outlineLevel="0" collapsed="false">
      <c r="A10" s="6"/>
      <c r="B10" s="7" t="s">
        <v>8</v>
      </c>
      <c r="C10" s="11" t="s">
        <v>9</v>
      </c>
      <c r="D10" s="6"/>
    </row>
    <row r="11" customFormat="false" ht="15" hidden="false" customHeight="false" outlineLevel="0" collapsed="false">
      <c r="A11" s="6"/>
      <c r="B11" s="7" t="s">
        <v>10</v>
      </c>
      <c r="C11" s="11" t="s">
        <v>11</v>
      </c>
      <c r="D11" s="6"/>
    </row>
    <row r="12" customFormat="false" ht="15" hidden="false" customHeight="false" outlineLevel="0" collapsed="false">
      <c r="A12" s="6"/>
      <c r="B12" s="7" t="s">
        <v>12</v>
      </c>
      <c r="C12" s="11" t="s">
        <v>13</v>
      </c>
      <c r="D12" s="6"/>
    </row>
    <row r="13" customFormat="false" ht="15" hidden="false" customHeight="false" outlineLevel="0" collapsed="false">
      <c r="A13" s="6"/>
      <c r="B13" s="7" t="s">
        <v>14</v>
      </c>
      <c r="C13" s="11" t="s">
        <v>15</v>
      </c>
      <c r="D13" s="6"/>
    </row>
    <row r="14" customFormat="false" ht="15" hidden="false" customHeight="false" outlineLevel="0" collapsed="false">
      <c r="A14" s="6"/>
      <c r="B14" s="7" t="s">
        <v>16</v>
      </c>
      <c r="C14" s="11" t="s">
        <v>17</v>
      </c>
      <c r="D14" s="6"/>
    </row>
    <row r="15" customFormat="false" ht="15" hidden="false" customHeight="false" outlineLevel="0" collapsed="false">
      <c r="A15" s="6"/>
      <c r="B15" s="7" t="s">
        <v>18</v>
      </c>
      <c r="C15" s="11" t="s">
        <v>19</v>
      </c>
      <c r="D15" s="6"/>
    </row>
    <row r="16" customFormat="false" ht="15" hidden="false" customHeight="false" outlineLevel="0" collapsed="false">
      <c r="A16" s="6"/>
      <c r="B16" s="7" t="s">
        <v>20</v>
      </c>
      <c r="C16" s="11" t="s">
        <v>21</v>
      </c>
      <c r="D16" s="6"/>
    </row>
    <row r="17" customFormat="false" ht="15" hidden="false" customHeight="false" outlineLevel="0" collapsed="false">
      <c r="A17" s="6"/>
      <c r="B17" s="7" t="s">
        <v>22</v>
      </c>
      <c r="C17" s="11" t="s">
        <v>23</v>
      </c>
      <c r="D17" s="6"/>
    </row>
    <row r="18" customFormat="false" ht="15" hidden="false" customHeight="false" outlineLevel="0" collapsed="false">
      <c r="A18" s="6"/>
      <c r="B18" s="7" t="s">
        <v>24</v>
      </c>
      <c r="C18" s="11" t="s">
        <v>25</v>
      </c>
      <c r="D18" s="6"/>
    </row>
    <row r="21" customFormat="false" ht="19.5" hidden="false" customHeight="true" outlineLevel="0" collapsed="false">
      <c r="B21" s="12" t="s">
        <v>26</v>
      </c>
      <c r="C21" s="13"/>
      <c r="D21" s="13"/>
      <c r="E21" s="13"/>
      <c r="F21" s="13"/>
      <c r="G21" s="13"/>
    </row>
    <row r="22" customFormat="false" ht="195.75" hidden="false" customHeight="true" outlineLevel="0" collapsed="false">
      <c r="B22" s="14" t="s">
        <v>27</v>
      </c>
      <c r="C22" s="14"/>
      <c r="D22" s="14"/>
      <c r="E22" s="14"/>
      <c r="F22" s="14"/>
      <c r="G22" s="14"/>
    </row>
    <row r="24" customFormat="false" ht="19.5" hidden="false" customHeight="true" outlineLevel="0" collapsed="false">
      <c r="B24" s="12" t="s">
        <v>28</v>
      </c>
      <c r="C24" s="13"/>
      <c r="D24" s="13"/>
      <c r="E24" s="13"/>
      <c r="F24" s="13"/>
      <c r="G24" s="13"/>
    </row>
    <row r="25" customFormat="false" ht="57" hidden="false" customHeight="true" outlineLevel="0" collapsed="false">
      <c r="B25" s="14" t="s">
        <v>29</v>
      </c>
      <c r="C25" s="14"/>
      <c r="D25" s="14"/>
      <c r="E25" s="14"/>
      <c r="F25" s="14"/>
      <c r="G25" s="14"/>
    </row>
    <row r="26" customFormat="false" ht="15" hidden="false" customHeight="false" outlineLevel="0" collapsed="false">
      <c r="B26" s="15" t="s">
        <v>30</v>
      </c>
      <c r="C26" s="15"/>
      <c r="D26" s="15"/>
      <c r="E26" s="15"/>
      <c r="F26" s="15"/>
      <c r="G26" s="15"/>
    </row>
    <row r="27" customFormat="false" ht="15" hidden="false" customHeight="false" outlineLevel="0" collapsed="false">
      <c r="B27" s="16" t="s">
        <v>31</v>
      </c>
    </row>
  </sheetData>
  <mergeCells count="3">
    <mergeCell ref="B22:G22"/>
    <mergeCell ref="B25:G25"/>
    <mergeCell ref="B26:G26"/>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8" min="3" style="0" width="16"/>
  </cols>
  <sheetData>
    <row r="1" customFormat="false" ht="15" hidden="false" customHeight="false" outlineLevel="0" collapsed="false">
      <c r="A1" s="1"/>
      <c r="B1" s="1"/>
      <c r="C1" s="1"/>
      <c r="D1" s="1"/>
      <c r="E1" s="1"/>
      <c r="F1" s="1"/>
      <c r="G1" s="1"/>
      <c r="H1" s="1"/>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219</v>
      </c>
      <c r="C2" s="1"/>
      <c r="D2" s="1"/>
      <c r="E2" s="1"/>
      <c r="F2" s="1"/>
      <c r="G2" s="1"/>
      <c r="H2" s="1"/>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220</v>
      </c>
      <c r="C3" s="1"/>
      <c r="D3" s="1"/>
      <c r="E3" s="1"/>
      <c r="F3" s="1"/>
      <c r="G3" s="1"/>
      <c r="H3" s="1"/>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23" t="s">
        <v>111</v>
      </c>
      <c r="D4" s="23" t="s">
        <v>112</v>
      </c>
      <c r="E4" s="23" t="s">
        <v>113</v>
      </c>
      <c r="F4" s="23" t="s">
        <v>114</v>
      </c>
      <c r="G4" s="23" t="s">
        <v>115</v>
      </c>
      <c r="H4" s="23" t="s">
        <v>116</v>
      </c>
    </row>
    <row r="5" customFormat="false" ht="15" hidden="false" customHeight="false" outlineLevel="0" collapsed="false">
      <c r="A5" s="6"/>
      <c r="B5" s="6"/>
      <c r="C5" s="6"/>
      <c r="D5" s="6"/>
      <c r="E5" s="6"/>
      <c r="F5" s="6"/>
      <c r="G5" s="6"/>
      <c r="H5" s="6"/>
    </row>
    <row r="6" customFormat="false" ht="15" hidden="false" customHeight="false" outlineLevel="0" collapsed="false">
      <c r="A6" s="6"/>
      <c r="B6" s="32" t="s">
        <v>221</v>
      </c>
      <c r="C6" s="32"/>
      <c r="D6" s="33" t="s">
        <v>112</v>
      </c>
      <c r="E6" s="33" t="s">
        <v>113</v>
      </c>
      <c r="F6" s="33" t="s">
        <v>114</v>
      </c>
      <c r="G6" s="33" t="s">
        <v>115</v>
      </c>
      <c r="H6" s="33" t="s">
        <v>116</v>
      </c>
    </row>
    <row r="7" customFormat="false" ht="15" hidden="false" customHeight="false" outlineLevel="0" collapsed="false">
      <c r="A7" s="6"/>
      <c r="B7" s="11" t="s">
        <v>222</v>
      </c>
      <c r="C7" s="6"/>
      <c r="D7" s="34" t="b">
        <f aca="false">ABS((RB_Close_Net_PPE_Y1+CF_Closing_Y1+IS_AR_Y1)-(DS_LT_Close_Y1+DS_Rev_Close_Y1+IS_AP_Y1+IS_Equity_Y1))&lt;1</f>
        <v>1</v>
      </c>
      <c r="E7" s="34" t="b">
        <f aca="false">ABS((RB_Close_Net_PPE_Y2+CF_Closing_Y2+IS_AR_Y2)-(DS_LT_Close_Y2+DS_Rev_Close_Y2+IS_AP_Y2+IS_Equity_Y2))&lt;1</f>
        <v>1</v>
      </c>
      <c r="F7" s="34" t="b">
        <f aca="false">ABS((RB_Close_Net_PPE_Y3+CF_Closing_Y3+IS_AR_Y3)-(DS_LT_Close_Y3+DS_Rev_Close_Y3+IS_AP_Y3+IS_Equity_Y3))&lt;1</f>
        <v>1</v>
      </c>
      <c r="G7" s="34" t="b">
        <f aca="false">ABS((RB_Close_Net_PPE_Y4+CF_Closing_Y4+IS_AR_Y4)-(DS_LT_Close_Y4+DS_Rev_Close_Y4+IS_AP_Y4+IS_Equity_Y4))&lt;1</f>
        <v>1</v>
      </c>
      <c r="H7" s="34" t="b">
        <f aca="false">ABS((RB_Close_Net_PPE_Y5+CF_Closing_Y5+IS_AR_Y5)-(DS_LT_Close_Y5+DS_Rev_Close_Y5+IS_AP_Y5+IS_Equity_Y5))&lt;1</f>
        <v>1</v>
      </c>
    </row>
    <row r="8" customFormat="false" ht="15" hidden="false" customHeight="false" outlineLevel="0" collapsed="false">
      <c r="A8" s="6"/>
      <c r="B8" s="11" t="s">
        <v>223</v>
      </c>
      <c r="C8" s="6"/>
      <c r="D8" s="34" t="b">
        <f aca="false">CF_Closing_Y1&gt;=Min_Cash</f>
        <v>1</v>
      </c>
      <c r="E8" s="34" t="b">
        <f aca="false">CF_Closing_Y2&gt;=Min_Cash</f>
        <v>1</v>
      </c>
      <c r="F8" s="34" t="b">
        <f aca="false">CF_Closing_Y3&gt;=Min_Cash</f>
        <v>1</v>
      </c>
      <c r="G8" s="34" t="b">
        <f aca="false">CF_Closing_Y4&gt;=Min_Cash</f>
        <v>1</v>
      </c>
      <c r="H8" s="34" t="b">
        <f aca="false">CF_Closing_Y5&gt;=Min_Cash</f>
        <v>1</v>
      </c>
    </row>
    <row r="9" customFormat="false" ht="15" hidden="false" customHeight="false" outlineLevel="0" collapsed="false">
      <c r="A9" s="6"/>
      <c r="B9" s="11" t="s">
        <v>224</v>
      </c>
      <c r="C9" s="6"/>
      <c r="D9" s="34" t="b">
        <f aca="false">ABS(IS_Fuel_Rev_Y1-IS_Fuel_Cost_Y1)&lt;0.1</f>
        <v>1</v>
      </c>
      <c r="E9" s="34" t="b">
        <f aca="false">ABS(IS_Fuel_Rev_Y2-IS_Fuel_Cost_Y2)&lt;0.1</f>
        <v>1</v>
      </c>
      <c r="F9" s="34" t="b">
        <f aca="false">ABS(IS_Fuel_Rev_Y3-IS_Fuel_Cost_Y3)&lt;0.1</f>
        <v>1</v>
      </c>
      <c r="G9" s="34" t="b">
        <f aca="false">ABS(IS_Fuel_Rev_Y4-IS_Fuel_Cost_Y4)&lt;0.1</f>
        <v>1</v>
      </c>
      <c r="H9" s="34" t="b">
        <f aca="false">ABS(IS_Fuel_Rev_Y5-IS_Fuel_Cost_Y5)&lt;0.1</f>
        <v>1</v>
      </c>
    </row>
    <row r="10" customFormat="false" ht="15" hidden="false" customHeight="false" outlineLevel="0" collapsed="false">
      <c r="A10" s="6"/>
      <c r="B10" s="11" t="s">
        <v>225</v>
      </c>
      <c r="C10" s="6"/>
      <c r="D10" s="34" t="b">
        <f aca="false">IF((Opening_Equity+IS_Equity_Y1)/2=0,FALSE(),ABS(IS_NI_Y1/((Opening_Equity+IS_Equity_Y1)/2)-ROE)&lt;0.005)</f>
        <v>1</v>
      </c>
      <c r="E10" s="34" t="b">
        <f aca="false">IF((Opening_Equity+IS_Equity_Y2)/2=0,FALSE(),ABS(IS_NI_Y2/((Opening_Equity+IS_Equity_Y2)/2)-ROE)&lt;0.005)</f>
        <v>1</v>
      </c>
      <c r="F10" s="34" t="b">
        <f aca="false">IF((Opening_Equity+IS_Equity_Y3)/2=0,FALSE(),ABS(IS_NI_Y3/((Opening_Equity+IS_Equity_Y3)/2)-ROE)&lt;0.005)</f>
        <v>1</v>
      </c>
      <c r="G10" s="34" t="b">
        <f aca="false">IF((Opening_Equity+IS_Equity_Y4)/2=0,FALSE(),ABS(IS_NI_Y4/((Opening_Equity+IS_Equity_Y4)/2)-ROE)&lt;0.005)</f>
        <v>1</v>
      </c>
      <c r="H10" s="34" t="b">
        <f aca="false">IF((Opening_Equity+IS_Equity_Y5)/2=0,FALSE(),ABS(IS_NI_Y5/((Opening_Equity+IS_Equity_Y5)/2)-ROE)&lt;0.005)</f>
        <v>1</v>
      </c>
    </row>
    <row r="11" customFormat="false" ht="15" hidden="false" customHeight="false" outlineLevel="0" collapsed="false">
      <c r="A11" s="6"/>
      <c r="B11" s="11" t="s">
        <v>226</v>
      </c>
      <c r="C11" s="6"/>
      <c r="D11" s="34" t="b">
        <f aca="false">(IS_NI_Y1+IS_Depr_Y1)/(DS_LT_Close_Y1+DS_Rev_Close_Y1)&gt;=0.13</f>
        <v>1</v>
      </c>
      <c r="E11" s="34" t="b">
        <f aca="false">(IS_NI_Y2+IS_Depr_Y2)/(DS_LT_Close_Y2+DS_Rev_Close_Y2)&gt;=0.13</f>
        <v>1</v>
      </c>
      <c r="F11" s="34" t="b">
        <f aca="false">(IS_NI_Y3+IS_Depr_Y3)/(DS_LT_Close_Y3+DS_Rev_Close_Y3)&gt;=0.13</f>
        <v>1</v>
      </c>
      <c r="G11" s="34" t="b">
        <f aca="false">(IS_NI_Y4+IS_Depr_Y4)/(DS_LT_Close_Y4+DS_Rev_Close_Y4)&gt;=0.13</f>
        <v>1</v>
      </c>
      <c r="H11" s="34" t="b">
        <f aca="false">(IS_NI_Y5+IS_Depr_Y5)/(DS_LT_Close_Y5+DS_Rev_Close_Y5)&gt;=0.13</f>
        <v>1</v>
      </c>
    </row>
    <row r="12" customFormat="false" ht="15" hidden="false" customHeight="false" outlineLevel="0" collapsed="false">
      <c r="A12" s="6"/>
      <c r="B12" s="11" t="s">
        <v>227</v>
      </c>
      <c r="C12" s="6"/>
      <c r="D12" s="34" t="b">
        <f aca="false">(DS_LT_Close_Y1+DS_Rev_Close_Y1)/(DS_LT_Close_Y1+DS_Rev_Close_Y1+IS_Equity_Y1)&lt;=0.6</f>
        <v>1</v>
      </c>
      <c r="E12" s="34" t="b">
        <f aca="false">(DS_LT_Close_Y2+DS_Rev_Close_Y2)/(DS_LT_Close_Y2+DS_Rev_Close_Y2+IS_Equity_Y2)&lt;=0.6</f>
        <v>1</v>
      </c>
      <c r="F12" s="34" t="b">
        <f aca="false">(DS_LT_Close_Y3+DS_Rev_Close_Y3)/(DS_LT_Close_Y3+DS_Rev_Close_Y3+IS_Equity_Y3)&lt;=0.6</f>
        <v>1</v>
      </c>
      <c r="G12" s="34" t="b">
        <f aca="false">(DS_LT_Close_Y4+DS_Rev_Close_Y4)/(DS_LT_Close_Y4+DS_Rev_Close_Y4+IS_Equity_Y4)&lt;=0.6</f>
        <v>1</v>
      </c>
      <c r="H12" s="34" t="b">
        <f aca="false">(DS_LT_Close_Y5+DS_Rev_Close_Y5)/(DS_LT_Close_Y5+DS_Rev_Close_Y5+IS_Equity_Y5)&lt;=0.6</f>
        <v>1</v>
      </c>
    </row>
    <row r="13" customFormat="false" ht="15" hidden="false" customHeight="false" outlineLevel="0" collapsed="false">
      <c r="A13" s="6"/>
      <c r="B13" s="11" t="s">
        <v>228</v>
      </c>
      <c r="C13" s="6"/>
      <c r="D13" s="34" t="b">
        <f aca="false">IF(IS_NI_Y1&gt;0,IS_Divs_Y1/IS_NI_Y1&lt;=1,TRUE())</f>
        <v>1</v>
      </c>
      <c r="E13" s="34" t="b">
        <f aca="false">IF(IS_NI_Y2&gt;0,IS_Divs_Y2/IS_NI_Y2&lt;=1,TRUE())</f>
        <v>1</v>
      </c>
      <c r="F13" s="34" t="b">
        <f aca="false">IF(IS_NI_Y3&gt;0,IS_Divs_Y3/IS_NI_Y3&lt;=1,TRUE())</f>
        <v>1</v>
      </c>
      <c r="G13" s="34" t="b">
        <f aca="false">IF(IS_NI_Y4&gt;0,IS_Divs_Y4/IS_NI_Y4&lt;=1,TRUE())</f>
        <v>1</v>
      </c>
      <c r="H13" s="34" t="b">
        <f aca="false">IF(IS_NI_Y5&gt;0,IS_Divs_Y5/IS_NI_Y5&lt;=1,TRUE())</f>
        <v>1</v>
      </c>
    </row>
    <row r="14" customFormat="false" ht="15" hidden="false" customHeight="false" outlineLevel="0" collapsed="false">
      <c r="A14" s="6"/>
      <c r="B14" s="11" t="s">
        <v>229</v>
      </c>
      <c r="C14" s="6"/>
      <c r="D14" s="34" t="b">
        <f aca="false">DS_Rev_Close_Y1&lt;=Revolver_Limit</f>
        <v>1</v>
      </c>
      <c r="E14" s="34" t="b">
        <f aca="false">DS_Rev_Close_Y2&lt;=Revolver_Limit</f>
        <v>1</v>
      </c>
      <c r="F14" s="34" t="b">
        <f aca="false">DS_Rev_Close_Y3&lt;=Revolver_Limit</f>
        <v>1</v>
      </c>
      <c r="G14" s="34" t="b">
        <f aca="false">DS_Rev_Close_Y4&lt;=Revolver_Limit</f>
        <v>1</v>
      </c>
      <c r="H14" s="34" t="b">
        <f aca="false">DS_Rev_Close_Y5&lt;=Revolver_Limit</f>
        <v>1</v>
      </c>
    </row>
    <row r="15" customFormat="false" ht="15" hidden="false" customHeight="false" outlineLevel="0" collapsed="false">
      <c r="A15" s="6"/>
      <c r="B15" s="11" t="s">
        <v>230</v>
      </c>
      <c r="C15" s="6"/>
      <c r="D15" s="34" t="b">
        <f aca="false">IS_Equity_Y1&gt;=0</f>
        <v>1</v>
      </c>
      <c r="E15" s="34" t="b">
        <f aca="false">IS_Equity_Y2&gt;=0</f>
        <v>1</v>
      </c>
      <c r="F15" s="34" t="b">
        <f aca="false">IS_Equity_Y3&gt;=0</f>
        <v>1</v>
      </c>
      <c r="G15" s="34" t="b">
        <f aca="false">IS_Equity_Y4&gt;=0</f>
        <v>1</v>
      </c>
      <c r="H15" s="34" t="b">
        <f aca="false">IS_Equity_Y5&gt;=0</f>
        <v>1</v>
      </c>
    </row>
    <row r="16" customFormat="false" ht="15" hidden="false" customHeight="false" outlineLevel="0" collapsed="false">
      <c r="A16" s="6"/>
      <c r="B16" s="11" t="s">
        <v>231</v>
      </c>
      <c r="C16" s="6"/>
      <c r="D16" s="34" t="b">
        <f aca="false">RB_Avg_Rate_Base_Y1&lt;=RB_Close_Net_PPE_Y1</f>
        <v>1</v>
      </c>
      <c r="E16" s="34" t="b">
        <f aca="false">RB_Avg_Rate_Base_Y2&lt;=RB_Close_Net_PPE_Y2</f>
        <v>1</v>
      </c>
      <c r="F16" s="34" t="b">
        <f aca="false">RB_Avg_Rate_Base_Y3&lt;=RB_Close_Net_PPE_Y3</f>
        <v>1</v>
      </c>
      <c r="G16" s="34" t="b">
        <f aca="false">RB_Avg_Rate_Base_Y4&lt;=RB_Close_Net_PPE_Y4</f>
        <v>1</v>
      </c>
      <c r="H16" s="34" t="b">
        <f aca="false">RB_Avg_Rate_Base_Y5&lt;=RB_Close_Net_PPE_Y5</f>
        <v>1</v>
      </c>
    </row>
    <row r="17" customFormat="false" ht="15" hidden="false" customHeight="false" outlineLevel="0" collapsed="false">
      <c r="A17" s="6"/>
      <c r="B17" s="6"/>
      <c r="C17" s="6"/>
      <c r="D17" s="6"/>
      <c r="E17" s="6"/>
      <c r="F17" s="6"/>
      <c r="G17" s="6"/>
      <c r="H17" s="6"/>
    </row>
    <row r="18" customFormat="false" ht="15" hidden="false" customHeight="false" outlineLevel="0" collapsed="false">
      <c r="A18" s="6"/>
      <c r="B18" s="35" t="s">
        <v>232</v>
      </c>
      <c r="C18" s="6"/>
      <c r="D18" s="36" t="b">
        <f aca="false">AND(D7:D16)</f>
        <v>1</v>
      </c>
      <c r="E18" s="36" t="b">
        <f aca="false">AND(E7:E16)</f>
        <v>1</v>
      </c>
      <c r="F18" s="36" t="b">
        <f aca="false">AND(F7:F16)</f>
        <v>1</v>
      </c>
      <c r="G18" s="36" t="b">
        <f aca="false">AND(G7:G16)</f>
        <v>1</v>
      </c>
      <c r="H18" s="36" t="b">
        <f aca="false">AND(H7:H16)</f>
        <v>1</v>
      </c>
    </row>
  </sheetData>
  <conditionalFormatting sqref="D7">
    <cfRule type="cellIs" priority="2" operator="equal" aboveAverage="0" equalAverage="0" bottom="0" percent="0" rank="0" text="" dxfId="0">
      <formula>1</formula>
    </cfRule>
    <cfRule type="cellIs" priority="3" operator="equal" aboveAverage="0" equalAverage="0" bottom="0" percent="0" rank="0" text="" dxfId="1">
      <formula>0</formula>
    </cfRule>
  </conditionalFormatting>
  <conditionalFormatting sqref="E7">
    <cfRule type="cellIs" priority="4" operator="equal" aboveAverage="0" equalAverage="0" bottom="0" percent="0" rank="0" text="" dxfId="0">
      <formula>1</formula>
    </cfRule>
    <cfRule type="cellIs" priority="5" operator="equal" aboveAverage="0" equalAverage="0" bottom="0" percent="0" rank="0" text="" dxfId="1">
      <formula>0</formula>
    </cfRule>
  </conditionalFormatting>
  <conditionalFormatting sqref="F7">
    <cfRule type="cellIs" priority="6" operator="equal" aboveAverage="0" equalAverage="0" bottom="0" percent="0" rank="0" text="" dxfId="0">
      <formula>1</formula>
    </cfRule>
    <cfRule type="cellIs" priority="7" operator="equal" aboveAverage="0" equalAverage="0" bottom="0" percent="0" rank="0" text="" dxfId="1">
      <formula>0</formula>
    </cfRule>
  </conditionalFormatting>
  <conditionalFormatting sqref="G7">
    <cfRule type="cellIs" priority="8" operator="equal" aboveAverage="0" equalAverage="0" bottom="0" percent="0" rank="0" text="" dxfId="0">
      <formula>1</formula>
    </cfRule>
    <cfRule type="cellIs" priority="9" operator="equal" aboveAverage="0" equalAverage="0" bottom="0" percent="0" rank="0" text="" dxfId="1">
      <formula>0</formula>
    </cfRule>
  </conditionalFormatting>
  <conditionalFormatting sqref="H7">
    <cfRule type="cellIs" priority="10" operator="equal" aboveAverage="0" equalAverage="0" bottom="0" percent="0" rank="0" text="" dxfId="0">
      <formula>1</formula>
    </cfRule>
    <cfRule type="cellIs" priority="11" operator="equal" aboveAverage="0" equalAverage="0" bottom="0" percent="0" rank="0" text="" dxfId="1">
      <formula>0</formula>
    </cfRule>
  </conditionalFormatting>
  <conditionalFormatting sqref="D8">
    <cfRule type="cellIs" priority="12" operator="equal" aboveAverage="0" equalAverage="0" bottom="0" percent="0" rank="0" text="" dxfId="0">
      <formula>1</formula>
    </cfRule>
    <cfRule type="cellIs" priority="13" operator="equal" aboveAverage="0" equalAverage="0" bottom="0" percent="0" rank="0" text="" dxfId="1">
      <formula>0</formula>
    </cfRule>
  </conditionalFormatting>
  <conditionalFormatting sqref="E8">
    <cfRule type="cellIs" priority="14" operator="equal" aboveAverage="0" equalAverage="0" bottom="0" percent="0" rank="0" text="" dxfId="0">
      <formula>1</formula>
    </cfRule>
    <cfRule type="cellIs" priority="15" operator="equal" aboveAverage="0" equalAverage="0" bottom="0" percent="0" rank="0" text="" dxfId="1">
      <formula>0</formula>
    </cfRule>
  </conditionalFormatting>
  <conditionalFormatting sqref="F8">
    <cfRule type="cellIs" priority="16" operator="equal" aboveAverage="0" equalAverage="0" bottom="0" percent="0" rank="0" text="" dxfId="0">
      <formula>1</formula>
    </cfRule>
    <cfRule type="cellIs" priority="17" operator="equal" aboveAverage="0" equalAverage="0" bottom="0" percent="0" rank="0" text="" dxfId="1">
      <formula>0</formula>
    </cfRule>
  </conditionalFormatting>
  <conditionalFormatting sqref="G8">
    <cfRule type="cellIs" priority="18" operator="equal" aboveAverage="0" equalAverage="0" bottom="0" percent="0" rank="0" text="" dxfId="0">
      <formula>1</formula>
    </cfRule>
    <cfRule type="cellIs" priority="19" operator="equal" aboveAverage="0" equalAverage="0" bottom="0" percent="0" rank="0" text="" dxfId="1">
      <formula>0</formula>
    </cfRule>
  </conditionalFormatting>
  <conditionalFormatting sqref="H8">
    <cfRule type="cellIs" priority="20" operator="equal" aboveAverage="0" equalAverage="0" bottom="0" percent="0" rank="0" text="" dxfId="0">
      <formula>1</formula>
    </cfRule>
    <cfRule type="cellIs" priority="21" operator="equal" aboveAverage="0" equalAverage="0" bottom="0" percent="0" rank="0" text="" dxfId="1">
      <formula>0</formula>
    </cfRule>
  </conditionalFormatting>
  <conditionalFormatting sqref="D9">
    <cfRule type="cellIs" priority="22" operator="equal" aboveAverage="0" equalAverage="0" bottom="0" percent="0" rank="0" text="" dxfId="0">
      <formula>1</formula>
    </cfRule>
    <cfRule type="cellIs" priority="23" operator="equal" aboveAverage="0" equalAverage="0" bottom="0" percent="0" rank="0" text="" dxfId="1">
      <formula>0</formula>
    </cfRule>
  </conditionalFormatting>
  <conditionalFormatting sqref="E9">
    <cfRule type="cellIs" priority="24" operator="equal" aboveAverage="0" equalAverage="0" bottom="0" percent="0" rank="0" text="" dxfId="0">
      <formula>1</formula>
    </cfRule>
    <cfRule type="cellIs" priority="25" operator="equal" aboveAverage="0" equalAverage="0" bottom="0" percent="0" rank="0" text="" dxfId="1">
      <formula>0</formula>
    </cfRule>
  </conditionalFormatting>
  <conditionalFormatting sqref="F9">
    <cfRule type="cellIs" priority="26" operator="equal" aboveAverage="0" equalAverage="0" bottom="0" percent="0" rank="0" text="" dxfId="0">
      <formula>1</formula>
    </cfRule>
    <cfRule type="cellIs" priority="27" operator="equal" aboveAverage="0" equalAverage="0" bottom="0" percent="0" rank="0" text="" dxfId="1">
      <formula>0</formula>
    </cfRule>
  </conditionalFormatting>
  <conditionalFormatting sqref="G9">
    <cfRule type="cellIs" priority="28" operator="equal" aboveAverage="0" equalAverage="0" bottom="0" percent="0" rank="0" text="" dxfId="0">
      <formula>1</formula>
    </cfRule>
    <cfRule type="cellIs" priority="29" operator="equal" aboveAverage="0" equalAverage="0" bottom="0" percent="0" rank="0" text="" dxfId="1">
      <formula>0</formula>
    </cfRule>
  </conditionalFormatting>
  <conditionalFormatting sqref="H9">
    <cfRule type="cellIs" priority="30" operator="equal" aboveAverage="0" equalAverage="0" bottom="0" percent="0" rank="0" text="" dxfId="0">
      <formula>1</formula>
    </cfRule>
    <cfRule type="cellIs" priority="31" operator="equal" aboveAverage="0" equalAverage="0" bottom="0" percent="0" rank="0" text="" dxfId="1">
      <formula>0</formula>
    </cfRule>
  </conditionalFormatting>
  <conditionalFormatting sqref="D10">
    <cfRule type="cellIs" priority="32" operator="equal" aboveAverage="0" equalAverage="0" bottom="0" percent="0" rank="0" text="" dxfId="0">
      <formula>1</formula>
    </cfRule>
    <cfRule type="cellIs" priority="33" operator="equal" aboveAverage="0" equalAverage="0" bottom="0" percent="0" rank="0" text="" dxfId="1">
      <formula>0</formula>
    </cfRule>
  </conditionalFormatting>
  <conditionalFormatting sqref="E10">
    <cfRule type="cellIs" priority="34" operator="equal" aboveAverage="0" equalAverage="0" bottom="0" percent="0" rank="0" text="" dxfId="0">
      <formula>1</formula>
    </cfRule>
    <cfRule type="cellIs" priority="35" operator="equal" aboveAverage="0" equalAverage="0" bottom="0" percent="0" rank="0" text="" dxfId="1">
      <formula>0</formula>
    </cfRule>
  </conditionalFormatting>
  <conditionalFormatting sqref="F10">
    <cfRule type="cellIs" priority="36" operator="equal" aboveAverage="0" equalAverage="0" bottom="0" percent="0" rank="0" text="" dxfId="0">
      <formula>1</formula>
    </cfRule>
    <cfRule type="cellIs" priority="37" operator="equal" aboveAverage="0" equalAverage="0" bottom="0" percent="0" rank="0" text="" dxfId="1">
      <formula>0</formula>
    </cfRule>
  </conditionalFormatting>
  <conditionalFormatting sqref="G10">
    <cfRule type="cellIs" priority="38" operator="equal" aboveAverage="0" equalAverage="0" bottom="0" percent="0" rank="0" text="" dxfId="0">
      <formula>1</formula>
    </cfRule>
    <cfRule type="cellIs" priority="39" operator="equal" aboveAverage="0" equalAverage="0" bottom="0" percent="0" rank="0" text="" dxfId="1">
      <formula>0</formula>
    </cfRule>
  </conditionalFormatting>
  <conditionalFormatting sqref="H10">
    <cfRule type="cellIs" priority="40" operator="equal" aboveAverage="0" equalAverage="0" bottom="0" percent="0" rank="0" text="" dxfId="0">
      <formula>1</formula>
    </cfRule>
    <cfRule type="cellIs" priority="41" operator="equal" aboveAverage="0" equalAverage="0" bottom="0" percent="0" rank="0" text="" dxfId="1">
      <formula>0</formula>
    </cfRule>
  </conditionalFormatting>
  <conditionalFormatting sqref="D11">
    <cfRule type="cellIs" priority="42" operator="equal" aboveAverage="0" equalAverage="0" bottom="0" percent="0" rank="0" text="" dxfId="0">
      <formula>1</formula>
    </cfRule>
    <cfRule type="cellIs" priority="43" operator="equal" aboveAverage="0" equalAverage="0" bottom="0" percent="0" rank="0" text="" dxfId="1">
      <formula>0</formula>
    </cfRule>
  </conditionalFormatting>
  <conditionalFormatting sqref="E11">
    <cfRule type="cellIs" priority="44" operator="equal" aboveAverage="0" equalAverage="0" bottom="0" percent="0" rank="0" text="" dxfId="0">
      <formula>1</formula>
    </cfRule>
    <cfRule type="cellIs" priority="45" operator="equal" aboveAverage="0" equalAverage="0" bottom="0" percent="0" rank="0" text="" dxfId="1">
      <formula>0</formula>
    </cfRule>
  </conditionalFormatting>
  <conditionalFormatting sqref="F11">
    <cfRule type="cellIs" priority="46" operator="equal" aboveAverage="0" equalAverage="0" bottom="0" percent="0" rank="0" text="" dxfId="0">
      <formula>1</formula>
    </cfRule>
    <cfRule type="cellIs" priority="47" operator="equal" aboveAverage="0" equalAverage="0" bottom="0" percent="0" rank="0" text="" dxfId="1">
      <formula>0</formula>
    </cfRule>
  </conditionalFormatting>
  <conditionalFormatting sqref="G11">
    <cfRule type="cellIs" priority="48" operator="equal" aboveAverage="0" equalAverage="0" bottom="0" percent="0" rank="0" text="" dxfId="0">
      <formula>1</formula>
    </cfRule>
    <cfRule type="cellIs" priority="49" operator="equal" aboveAverage="0" equalAverage="0" bottom="0" percent="0" rank="0" text="" dxfId="1">
      <formula>0</formula>
    </cfRule>
  </conditionalFormatting>
  <conditionalFormatting sqref="H11">
    <cfRule type="cellIs" priority="50" operator="equal" aboveAverage="0" equalAverage="0" bottom="0" percent="0" rank="0" text="" dxfId="0">
      <formula>1</formula>
    </cfRule>
    <cfRule type="cellIs" priority="51" operator="equal" aboveAverage="0" equalAverage="0" bottom="0" percent="0" rank="0" text="" dxfId="1">
      <formula>0</formula>
    </cfRule>
  </conditionalFormatting>
  <conditionalFormatting sqref="D12">
    <cfRule type="cellIs" priority="52" operator="equal" aboveAverage="0" equalAverage="0" bottom="0" percent="0" rank="0" text="" dxfId="0">
      <formula>1</formula>
    </cfRule>
    <cfRule type="cellIs" priority="53" operator="equal" aboveAverage="0" equalAverage="0" bottom="0" percent="0" rank="0" text="" dxfId="1">
      <formula>0</formula>
    </cfRule>
  </conditionalFormatting>
  <conditionalFormatting sqref="E12">
    <cfRule type="cellIs" priority="54" operator="equal" aboveAverage="0" equalAverage="0" bottom="0" percent="0" rank="0" text="" dxfId="0">
      <formula>1</formula>
    </cfRule>
    <cfRule type="cellIs" priority="55" operator="equal" aboveAverage="0" equalAverage="0" bottom="0" percent="0" rank="0" text="" dxfId="1">
      <formula>0</formula>
    </cfRule>
  </conditionalFormatting>
  <conditionalFormatting sqref="F12">
    <cfRule type="cellIs" priority="56" operator="equal" aboveAverage="0" equalAverage="0" bottom="0" percent="0" rank="0" text="" dxfId="0">
      <formula>1</formula>
    </cfRule>
    <cfRule type="cellIs" priority="57" operator="equal" aboveAverage="0" equalAverage="0" bottom="0" percent="0" rank="0" text="" dxfId="1">
      <formula>0</formula>
    </cfRule>
  </conditionalFormatting>
  <conditionalFormatting sqref="G12">
    <cfRule type="cellIs" priority="58" operator="equal" aboveAverage="0" equalAverage="0" bottom="0" percent="0" rank="0" text="" dxfId="0">
      <formula>1</formula>
    </cfRule>
    <cfRule type="cellIs" priority="59" operator="equal" aboveAverage="0" equalAverage="0" bottom="0" percent="0" rank="0" text="" dxfId="1">
      <formula>0</formula>
    </cfRule>
  </conditionalFormatting>
  <conditionalFormatting sqref="H12">
    <cfRule type="cellIs" priority="60" operator="equal" aboveAverage="0" equalAverage="0" bottom="0" percent="0" rank="0" text="" dxfId="0">
      <formula>1</formula>
    </cfRule>
    <cfRule type="cellIs" priority="61" operator="equal" aboveAverage="0" equalAverage="0" bottom="0" percent="0" rank="0" text="" dxfId="1">
      <formula>0</formula>
    </cfRule>
  </conditionalFormatting>
  <conditionalFormatting sqref="D13">
    <cfRule type="cellIs" priority="62" operator="equal" aboveAverage="0" equalAverage="0" bottom="0" percent="0" rank="0" text="" dxfId="0">
      <formula>1</formula>
    </cfRule>
    <cfRule type="cellIs" priority="63" operator="equal" aboveAverage="0" equalAverage="0" bottom="0" percent="0" rank="0" text="" dxfId="1">
      <formula>0</formula>
    </cfRule>
  </conditionalFormatting>
  <conditionalFormatting sqref="E13">
    <cfRule type="cellIs" priority="64" operator="equal" aboveAverage="0" equalAverage="0" bottom="0" percent="0" rank="0" text="" dxfId="0">
      <formula>1</formula>
    </cfRule>
    <cfRule type="cellIs" priority="65" operator="equal" aboveAverage="0" equalAverage="0" bottom="0" percent="0" rank="0" text="" dxfId="1">
      <formula>0</formula>
    </cfRule>
  </conditionalFormatting>
  <conditionalFormatting sqref="F13">
    <cfRule type="cellIs" priority="66" operator="equal" aboveAverage="0" equalAverage="0" bottom="0" percent="0" rank="0" text="" dxfId="0">
      <formula>1</formula>
    </cfRule>
    <cfRule type="cellIs" priority="67" operator="equal" aboveAverage="0" equalAverage="0" bottom="0" percent="0" rank="0" text="" dxfId="1">
      <formula>0</formula>
    </cfRule>
  </conditionalFormatting>
  <conditionalFormatting sqref="G13">
    <cfRule type="cellIs" priority="68" operator="equal" aboveAverage="0" equalAverage="0" bottom="0" percent="0" rank="0" text="" dxfId="0">
      <formula>1</formula>
    </cfRule>
    <cfRule type="cellIs" priority="69" operator="equal" aboveAverage="0" equalAverage="0" bottom="0" percent="0" rank="0" text="" dxfId="1">
      <formula>0</formula>
    </cfRule>
  </conditionalFormatting>
  <conditionalFormatting sqref="H13">
    <cfRule type="cellIs" priority="70" operator="equal" aboveAverage="0" equalAverage="0" bottom="0" percent="0" rank="0" text="" dxfId="0">
      <formula>1</formula>
    </cfRule>
    <cfRule type="cellIs" priority="71" operator="equal" aboveAverage="0" equalAverage="0" bottom="0" percent="0" rank="0" text="" dxfId="1">
      <formula>0</formula>
    </cfRule>
  </conditionalFormatting>
  <conditionalFormatting sqref="D14">
    <cfRule type="cellIs" priority="72" operator="equal" aboveAverage="0" equalAverage="0" bottom="0" percent="0" rank="0" text="" dxfId="0">
      <formula>1</formula>
    </cfRule>
    <cfRule type="cellIs" priority="73" operator="equal" aboveAverage="0" equalAverage="0" bottom="0" percent="0" rank="0" text="" dxfId="1">
      <formula>0</formula>
    </cfRule>
  </conditionalFormatting>
  <conditionalFormatting sqref="E14">
    <cfRule type="cellIs" priority="74" operator="equal" aboveAverage="0" equalAverage="0" bottom="0" percent="0" rank="0" text="" dxfId="0">
      <formula>1</formula>
    </cfRule>
    <cfRule type="cellIs" priority="75" operator="equal" aboveAverage="0" equalAverage="0" bottom="0" percent="0" rank="0" text="" dxfId="1">
      <formula>0</formula>
    </cfRule>
  </conditionalFormatting>
  <conditionalFormatting sqref="F14">
    <cfRule type="cellIs" priority="76" operator="equal" aboveAverage="0" equalAverage="0" bottom="0" percent="0" rank="0" text="" dxfId="0">
      <formula>1</formula>
    </cfRule>
    <cfRule type="cellIs" priority="77" operator="equal" aboveAverage="0" equalAverage="0" bottom="0" percent="0" rank="0" text="" dxfId="1">
      <formula>0</formula>
    </cfRule>
  </conditionalFormatting>
  <conditionalFormatting sqref="G14">
    <cfRule type="cellIs" priority="78" operator="equal" aboveAverage="0" equalAverage="0" bottom="0" percent="0" rank="0" text="" dxfId="0">
      <formula>1</formula>
    </cfRule>
    <cfRule type="cellIs" priority="79" operator="equal" aboveAverage="0" equalAverage="0" bottom="0" percent="0" rank="0" text="" dxfId="1">
      <formula>0</formula>
    </cfRule>
  </conditionalFormatting>
  <conditionalFormatting sqref="H14">
    <cfRule type="cellIs" priority="80" operator="equal" aboveAverage="0" equalAverage="0" bottom="0" percent="0" rank="0" text="" dxfId="0">
      <formula>1</formula>
    </cfRule>
    <cfRule type="cellIs" priority="81" operator="equal" aboveAverage="0" equalAverage="0" bottom="0" percent="0" rank="0" text="" dxfId="1">
      <formula>0</formula>
    </cfRule>
  </conditionalFormatting>
  <conditionalFormatting sqref="D15">
    <cfRule type="cellIs" priority="82" operator="equal" aboveAverage="0" equalAverage="0" bottom="0" percent="0" rank="0" text="" dxfId="0">
      <formula>1</formula>
    </cfRule>
    <cfRule type="cellIs" priority="83" operator="equal" aboveAverage="0" equalAverage="0" bottom="0" percent="0" rank="0" text="" dxfId="1">
      <formula>0</formula>
    </cfRule>
  </conditionalFormatting>
  <conditionalFormatting sqref="E15">
    <cfRule type="cellIs" priority="84" operator="equal" aboveAverage="0" equalAverage="0" bottom="0" percent="0" rank="0" text="" dxfId="0">
      <formula>1</formula>
    </cfRule>
    <cfRule type="cellIs" priority="85" operator="equal" aboveAverage="0" equalAverage="0" bottom="0" percent="0" rank="0" text="" dxfId="1">
      <formula>0</formula>
    </cfRule>
  </conditionalFormatting>
  <conditionalFormatting sqref="F15">
    <cfRule type="cellIs" priority="86" operator="equal" aboveAverage="0" equalAverage="0" bottom="0" percent="0" rank="0" text="" dxfId="0">
      <formula>1</formula>
    </cfRule>
    <cfRule type="cellIs" priority="87" operator="equal" aboveAverage="0" equalAverage="0" bottom="0" percent="0" rank="0" text="" dxfId="1">
      <formula>0</formula>
    </cfRule>
  </conditionalFormatting>
  <conditionalFormatting sqref="G15">
    <cfRule type="cellIs" priority="88" operator="equal" aboveAverage="0" equalAverage="0" bottom="0" percent="0" rank="0" text="" dxfId="0">
      <formula>1</formula>
    </cfRule>
    <cfRule type="cellIs" priority="89" operator="equal" aboveAverage="0" equalAverage="0" bottom="0" percent="0" rank="0" text="" dxfId="1">
      <formula>0</formula>
    </cfRule>
  </conditionalFormatting>
  <conditionalFormatting sqref="H15">
    <cfRule type="cellIs" priority="90" operator="equal" aboveAverage="0" equalAverage="0" bottom="0" percent="0" rank="0" text="" dxfId="0">
      <formula>1</formula>
    </cfRule>
    <cfRule type="cellIs" priority="91" operator="equal" aboveAverage="0" equalAverage="0" bottom="0" percent="0" rank="0" text="" dxfId="1">
      <formula>0</formula>
    </cfRule>
  </conditionalFormatting>
  <conditionalFormatting sqref="D16">
    <cfRule type="cellIs" priority="92" operator="equal" aboveAverage="0" equalAverage="0" bottom="0" percent="0" rank="0" text="" dxfId="0">
      <formula>1</formula>
    </cfRule>
    <cfRule type="cellIs" priority="93" operator="equal" aboveAverage="0" equalAverage="0" bottom="0" percent="0" rank="0" text="" dxfId="1">
      <formula>0</formula>
    </cfRule>
  </conditionalFormatting>
  <conditionalFormatting sqref="E16">
    <cfRule type="cellIs" priority="94" operator="equal" aboveAverage="0" equalAverage="0" bottom="0" percent="0" rank="0" text="" dxfId="0">
      <formula>1</formula>
    </cfRule>
    <cfRule type="cellIs" priority="95" operator="equal" aboveAverage="0" equalAverage="0" bottom="0" percent="0" rank="0" text="" dxfId="1">
      <formula>0</formula>
    </cfRule>
  </conditionalFormatting>
  <conditionalFormatting sqref="F16">
    <cfRule type="cellIs" priority="96" operator="equal" aboveAverage="0" equalAverage="0" bottom="0" percent="0" rank="0" text="" dxfId="0">
      <formula>1</formula>
    </cfRule>
    <cfRule type="cellIs" priority="97" operator="equal" aboveAverage="0" equalAverage="0" bottom="0" percent="0" rank="0" text="" dxfId="1">
      <formula>0</formula>
    </cfRule>
  </conditionalFormatting>
  <conditionalFormatting sqref="G16">
    <cfRule type="cellIs" priority="98" operator="equal" aboveAverage="0" equalAverage="0" bottom="0" percent="0" rank="0" text="" dxfId="0">
      <formula>1</formula>
    </cfRule>
    <cfRule type="cellIs" priority="99" operator="equal" aboveAverage="0" equalAverage="0" bottom="0" percent="0" rank="0" text="" dxfId="1">
      <formula>0</formula>
    </cfRule>
  </conditionalFormatting>
  <conditionalFormatting sqref="H16">
    <cfRule type="cellIs" priority="100" operator="equal" aboveAverage="0" equalAverage="0" bottom="0" percent="0" rank="0" text="" dxfId="0">
      <formula>1</formula>
    </cfRule>
    <cfRule type="cellIs" priority="101" operator="equal" aboveAverage="0" equalAverage="0" bottom="0" percent="0" rank="0" text="" dxfId="1">
      <formula>0</formula>
    </cfRule>
  </conditionalFormatting>
  <conditionalFormatting sqref="D18">
    <cfRule type="cellIs" priority="102" operator="equal" aboveAverage="0" equalAverage="0" bottom="0" percent="0" rank="0" text="" dxfId="0">
      <formula>1</formula>
    </cfRule>
    <cfRule type="cellIs" priority="103" operator="equal" aboveAverage="0" equalAverage="0" bottom="0" percent="0" rank="0" text="" dxfId="1">
      <formula>0</formula>
    </cfRule>
  </conditionalFormatting>
  <conditionalFormatting sqref="E18">
    <cfRule type="cellIs" priority="104" operator="equal" aboveAverage="0" equalAverage="0" bottom="0" percent="0" rank="0" text="" dxfId="0">
      <formula>1</formula>
    </cfRule>
    <cfRule type="cellIs" priority="105" operator="equal" aboveAverage="0" equalAverage="0" bottom="0" percent="0" rank="0" text="" dxfId="1">
      <formula>0</formula>
    </cfRule>
  </conditionalFormatting>
  <conditionalFormatting sqref="F18">
    <cfRule type="cellIs" priority="106" operator="equal" aboveAverage="0" equalAverage="0" bottom="0" percent="0" rank="0" text="" dxfId="0">
      <formula>1</formula>
    </cfRule>
    <cfRule type="cellIs" priority="107" operator="equal" aboveAverage="0" equalAverage="0" bottom="0" percent="0" rank="0" text="" dxfId="1">
      <formula>0</formula>
    </cfRule>
  </conditionalFormatting>
  <conditionalFormatting sqref="G18">
    <cfRule type="cellIs" priority="108" operator="equal" aboveAverage="0" equalAverage="0" bottom="0" percent="0" rank="0" text="" dxfId="0">
      <formula>1</formula>
    </cfRule>
    <cfRule type="cellIs" priority="109" operator="equal" aboveAverage="0" equalAverage="0" bottom="0" percent="0" rank="0" text="" dxfId="1">
      <formula>0</formula>
    </cfRule>
  </conditionalFormatting>
  <conditionalFormatting sqref="H18">
    <cfRule type="cellIs" priority="110" operator="equal" aboveAverage="0" equalAverage="0" bottom="0" percent="0" rank="0" text="" dxfId="0">
      <formula>1</formula>
    </cfRule>
    <cfRule type="cellIs" priority="111" operator="equal" aboveAverage="0" equalAverage="0" bottom="0" percent="0" rank="0" text="" dxfId="1">
      <formula>0</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7" t="s">
        <v>233</v>
      </c>
    </row>
    <row r="3" customFormat="false" ht="3.75" hidden="false" customHeight="true" outlineLevel="0" collapsed="false">
      <c r="B3" s="38"/>
    </row>
    <row r="5" customFormat="false" ht="19.5" hidden="false" customHeight="true" outlineLevel="0" collapsed="false">
      <c r="B5" s="39" t="s">
        <v>234</v>
      </c>
    </row>
    <row r="6" customFormat="false" ht="48" hidden="false" customHeight="true" outlineLevel="0" collapsed="false">
      <c r="B6" s="40" t="s">
        <v>235</v>
      </c>
    </row>
    <row r="8" customFormat="false" ht="19.5" hidden="false" customHeight="true" outlineLevel="0" collapsed="false">
      <c r="B8" s="39" t="s">
        <v>236</v>
      </c>
    </row>
    <row r="9" customFormat="false" ht="61.5" hidden="false" customHeight="true" outlineLevel="0" collapsed="false">
      <c r="B9" s="40" t="s">
        <v>237</v>
      </c>
    </row>
    <row r="11" customFormat="false" ht="19.5" hidden="false" customHeight="true" outlineLevel="0" collapsed="false">
      <c r="B11" s="39" t="s">
        <v>238</v>
      </c>
    </row>
    <row r="12" customFormat="false" ht="75.75" hidden="false" customHeight="true" outlineLevel="0" collapsed="false">
      <c r="B12" s="40" t="s">
        <v>239</v>
      </c>
    </row>
    <row r="14" customFormat="false" ht="19.5" hidden="false" customHeight="true" outlineLevel="0" collapsed="false">
      <c r="B14" s="39" t="s">
        <v>240</v>
      </c>
    </row>
    <row r="15" customFormat="false" ht="61.5" hidden="false" customHeight="true" outlineLevel="0" collapsed="false">
      <c r="B15" s="40" t="s">
        <v>241</v>
      </c>
    </row>
    <row r="17" customFormat="false" ht="19.5" hidden="false" customHeight="true" outlineLevel="0" collapsed="false">
      <c r="B17" s="39" t="s">
        <v>242</v>
      </c>
    </row>
    <row r="18" customFormat="false" ht="33.75" hidden="false" customHeight="true" outlineLevel="0" collapsed="false">
      <c r="B18" s="40" t="s">
        <v>243</v>
      </c>
    </row>
    <row r="20" customFormat="false" ht="19.5" hidden="false" customHeight="true" outlineLevel="0" collapsed="false">
      <c r="B20" s="39" t="s">
        <v>244</v>
      </c>
    </row>
    <row r="21" customFormat="false" ht="33.75" hidden="false" customHeight="true" outlineLevel="0" collapsed="false">
      <c r="B21" s="40" t="s">
        <v>245</v>
      </c>
    </row>
    <row r="23" customFormat="false" ht="21.75" hidden="false" customHeight="true" outlineLevel="0" collapsed="false">
      <c r="B23" s="41" t="s">
        <v>246</v>
      </c>
    </row>
    <row r="25" customFormat="false" ht="18" hidden="false" customHeight="true" outlineLevel="0" collapsed="false">
      <c r="B25" s="42" t="s">
        <v>247</v>
      </c>
    </row>
    <row r="26" customFormat="false" ht="201.75" hidden="false" customHeight="true" outlineLevel="0" collapsed="false">
      <c r="B26" s="43" t="s">
        <v>248</v>
      </c>
    </row>
    <row r="28" customFormat="false" ht="18" hidden="false" customHeight="true" outlineLevel="0" collapsed="false">
      <c r="B28" s="44" t="s">
        <v>249</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5623"/>
    <pageSetUpPr fitToPage="false"/>
  </sheetPr>
  <dimension ref="A1:AD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3" min="3" style="0" width="18"/>
    <col collapsed="false" customWidth="true" hidden="false" outlineLevel="0" max="4" min="4" style="0" width="12"/>
    <col collapsed="false" customWidth="true" hidden="false" outlineLevel="0" max="5" min="5" style="0" width="30"/>
  </cols>
  <sheetData>
    <row r="1" customFormat="false" ht="15" hidden="false" customHeight="false" outlineLevel="0" collapsed="false">
      <c r="A1" s="1"/>
      <c r="B1" s="1"/>
      <c r="C1" s="1"/>
      <c r="D1" s="1"/>
      <c r="E1" s="1"/>
      <c r="F1" s="1"/>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8</v>
      </c>
      <c r="C2" s="1"/>
      <c r="D2" s="1"/>
      <c r="E2" s="1"/>
      <c r="F2" s="1"/>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32</v>
      </c>
      <c r="C3" s="1"/>
      <c r="D3" s="1"/>
      <c r="E3" s="1"/>
      <c r="F3" s="1"/>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9" t="s">
        <v>33</v>
      </c>
      <c r="C4" s="9" t="s">
        <v>34</v>
      </c>
      <c r="D4" s="9" t="s">
        <v>35</v>
      </c>
      <c r="E4" s="9" t="s">
        <v>36</v>
      </c>
      <c r="F4" s="6"/>
    </row>
    <row r="5" customFormat="false" ht="15" hidden="false" customHeight="false" outlineLevel="0" collapsed="false">
      <c r="A5" s="6"/>
      <c r="B5" s="17" t="s">
        <v>37</v>
      </c>
      <c r="C5" s="6"/>
      <c r="D5" s="6"/>
      <c r="E5" s="6"/>
      <c r="F5" s="6"/>
    </row>
    <row r="6" customFormat="false" ht="15" hidden="false" customHeight="false" outlineLevel="0" collapsed="false">
      <c r="A6" s="6"/>
      <c r="B6" s="9" t="s">
        <v>38</v>
      </c>
      <c r="C6" s="10"/>
      <c r="D6" s="10"/>
      <c r="E6" s="10"/>
      <c r="F6" s="10"/>
    </row>
    <row r="7" customFormat="false" ht="15" hidden="false" customHeight="false" outlineLevel="0" collapsed="false">
      <c r="A7" s="6"/>
      <c r="B7" s="18" t="s">
        <v>39</v>
      </c>
      <c r="C7" s="19" t="n">
        <v>18000</v>
      </c>
      <c r="D7" s="17" t="s">
        <v>40</v>
      </c>
      <c r="E7" s="17" t="s">
        <v>41</v>
      </c>
      <c r="F7" s="6"/>
    </row>
    <row r="8" customFormat="false" ht="15" hidden="false" customHeight="false" outlineLevel="0" collapsed="false">
      <c r="A8" s="6"/>
      <c r="B8" s="18" t="s">
        <v>42</v>
      </c>
      <c r="C8" s="19" t="n">
        <v>6000</v>
      </c>
      <c r="D8" s="17" t="s">
        <v>40</v>
      </c>
      <c r="E8" s="17" t="s">
        <v>43</v>
      </c>
      <c r="F8" s="6"/>
    </row>
    <row r="9" customFormat="false" ht="15" hidden="false" customHeight="false" outlineLevel="0" collapsed="false">
      <c r="A9" s="6"/>
      <c r="B9" s="11" t="s">
        <v>44</v>
      </c>
      <c r="C9" s="19" t="n">
        <f aca="false">Opening_Gross_PPE-Opening_Accum_Depr</f>
        <v>12000</v>
      </c>
      <c r="D9" s="17" t="s">
        <v>40</v>
      </c>
      <c r="E9" s="17" t="s">
        <v>45</v>
      </c>
      <c r="F9" s="6"/>
    </row>
    <row r="10" customFormat="false" ht="15" hidden="false" customHeight="false" outlineLevel="0" collapsed="false">
      <c r="A10" s="6"/>
      <c r="B10" s="18" t="s">
        <v>46</v>
      </c>
      <c r="C10" s="19" t="n">
        <v>6000</v>
      </c>
      <c r="D10" s="17" t="s">
        <v>40</v>
      </c>
      <c r="E10" s="17" t="s">
        <v>47</v>
      </c>
      <c r="F10" s="6"/>
    </row>
    <row r="11" customFormat="false" ht="15" hidden="false" customHeight="false" outlineLevel="0" collapsed="false">
      <c r="A11" s="6"/>
      <c r="B11" s="18" t="s">
        <v>48</v>
      </c>
      <c r="C11" s="19" t="n">
        <v>6000</v>
      </c>
      <c r="D11" s="17" t="s">
        <v>40</v>
      </c>
      <c r="E11" s="17" t="s">
        <v>49</v>
      </c>
      <c r="F11" s="6"/>
    </row>
    <row r="12" customFormat="false" ht="15" hidden="false" customHeight="false" outlineLevel="0" collapsed="false">
      <c r="A12" s="6"/>
      <c r="B12" s="18" t="s">
        <v>50</v>
      </c>
      <c r="C12" s="19" t="n">
        <v>0</v>
      </c>
      <c r="D12" s="17" t="s">
        <v>40</v>
      </c>
      <c r="E12" s="17" t="s">
        <v>51</v>
      </c>
      <c r="F12" s="6"/>
    </row>
    <row r="13" customFormat="false" ht="15" hidden="false" customHeight="false" outlineLevel="0" collapsed="false">
      <c r="A13" s="6"/>
      <c r="B13" s="9" t="s">
        <v>52</v>
      </c>
      <c r="C13" s="10"/>
      <c r="D13" s="10"/>
      <c r="E13" s="10"/>
      <c r="F13" s="10"/>
    </row>
    <row r="14" customFormat="false" ht="15" hidden="false" customHeight="false" outlineLevel="0" collapsed="false">
      <c r="A14" s="6"/>
      <c r="B14" s="18" t="s">
        <v>53</v>
      </c>
      <c r="C14" s="19" t="n">
        <v>12000000</v>
      </c>
      <c r="D14" s="17" t="s">
        <v>54</v>
      </c>
      <c r="E14" s="17" t="s">
        <v>55</v>
      </c>
      <c r="F14" s="6"/>
    </row>
    <row r="15" customFormat="false" ht="15" hidden="false" customHeight="false" outlineLevel="0" collapsed="false">
      <c r="A15" s="6"/>
      <c r="B15" s="18" t="s">
        <v>56</v>
      </c>
      <c r="C15" s="19" t="n">
        <v>9500</v>
      </c>
      <c r="D15" s="17" t="s">
        <v>57</v>
      </c>
      <c r="E15" s="17" t="s">
        <v>58</v>
      </c>
      <c r="F15" s="6"/>
    </row>
    <row r="16" customFormat="false" ht="15" hidden="false" customHeight="false" outlineLevel="0" collapsed="false">
      <c r="A16" s="6"/>
      <c r="B16" s="18" t="s">
        <v>59</v>
      </c>
      <c r="C16" s="20" t="n">
        <v>4.5</v>
      </c>
      <c r="D16" s="17" t="s">
        <v>60</v>
      </c>
      <c r="E16" s="17" t="s">
        <v>61</v>
      </c>
      <c r="F16" s="6"/>
    </row>
    <row r="17" customFormat="false" ht="15" hidden="false" customHeight="false" outlineLevel="0" collapsed="false">
      <c r="A17" s="6"/>
      <c r="B17" s="9" t="s">
        <v>62</v>
      </c>
      <c r="C17" s="10"/>
      <c r="D17" s="10"/>
      <c r="E17" s="10"/>
      <c r="F17" s="10"/>
    </row>
    <row r="18" customFormat="false" ht="15" hidden="false" customHeight="false" outlineLevel="0" collapsed="false">
      <c r="A18" s="6"/>
      <c r="B18" s="18" t="s">
        <v>63</v>
      </c>
      <c r="C18" s="19" t="n">
        <v>850</v>
      </c>
      <c r="D18" s="17" t="s">
        <v>40</v>
      </c>
      <c r="E18" s="17" t="s">
        <v>64</v>
      </c>
      <c r="F18" s="6"/>
    </row>
    <row r="19" customFormat="false" ht="15" hidden="false" customHeight="false" outlineLevel="0" collapsed="false">
      <c r="A19" s="6"/>
      <c r="B19" s="18" t="s">
        <v>65</v>
      </c>
      <c r="C19" s="21" t="n">
        <v>0.025</v>
      </c>
      <c r="D19" s="17" t="s">
        <v>66</v>
      </c>
      <c r="E19" s="17" t="s">
        <v>67</v>
      </c>
      <c r="F19" s="6"/>
    </row>
    <row r="20" customFormat="false" ht="15" hidden="false" customHeight="false" outlineLevel="0" collapsed="false">
      <c r="A20" s="6"/>
      <c r="B20" s="9" t="s">
        <v>68</v>
      </c>
      <c r="C20" s="10"/>
      <c r="D20" s="10"/>
      <c r="E20" s="10"/>
      <c r="F20" s="10"/>
    </row>
    <row r="21" customFormat="false" ht="15" hidden="false" customHeight="false" outlineLevel="0" collapsed="false">
      <c r="A21" s="6"/>
      <c r="B21" s="18" t="s">
        <v>69</v>
      </c>
      <c r="C21" s="19" t="n">
        <v>500</v>
      </c>
      <c r="D21" s="17" t="s">
        <v>70</v>
      </c>
      <c r="E21" s="17" t="s">
        <v>71</v>
      </c>
      <c r="F21" s="6"/>
    </row>
    <row r="22" customFormat="false" ht="15" hidden="false" customHeight="false" outlineLevel="0" collapsed="false">
      <c r="A22" s="6"/>
      <c r="B22" s="18" t="s">
        <v>72</v>
      </c>
      <c r="C22" s="21" t="n">
        <v>0.02</v>
      </c>
      <c r="D22" s="17" t="s">
        <v>66</v>
      </c>
      <c r="E22" s="17" t="s">
        <v>73</v>
      </c>
      <c r="F22" s="6"/>
    </row>
    <row r="23" customFormat="false" ht="15" hidden="false" customHeight="false" outlineLevel="0" collapsed="false">
      <c r="A23" s="6"/>
      <c r="B23" s="18" t="s">
        <v>74</v>
      </c>
      <c r="C23" s="20" t="n">
        <v>1.1</v>
      </c>
      <c r="D23" s="17" t="s">
        <v>75</v>
      </c>
      <c r="E23" s="17" t="s">
        <v>76</v>
      </c>
      <c r="F23" s="6"/>
    </row>
    <row r="24" customFormat="false" ht="15" hidden="false" customHeight="false" outlineLevel="0" collapsed="false">
      <c r="A24" s="6"/>
      <c r="B24" s="18" t="s">
        <v>77</v>
      </c>
      <c r="C24" s="19" t="n">
        <v>40</v>
      </c>
      <c r="D24" s="17" t="s">
        <v>78</v>
      </c>
      <c r="E24" s="17" t="s">
        <v>79</v>
      </c>
      <c r="F24" s="6"/>
    </row>
    <row r="25" customFormat="false" ht="15" hidden="false" customHeight="false" outlineLevel="0" collapsed="false">
      <c r="A25" s="6"/>
      <c r="B25" s="9" t="s">
        <v>80</v>
      </c>
      <c r="C25" s="10"/>
      <c r="D25" s="10"/>
      <c r="E25" s="10"/>
      <c r="F25" s="10"/>
    </row>
    <row r="26" customFormat="false" ht="15" hidden="false" customHeight="false" outlineLevel="0" collapsed="false">
      <c r="A26" s="6"/>
      <c r="B26" s="11" t="s">
        <v>81</v>
      </c>
      <c r="C26" s="22" t="n">
        <f aca="false">Eq_Thickness*ROE+(1-Eq_Thickness)*Cost_of_Debt*(1-Tax_Rate)</f>
        <v>0.06725</v>
      </c>
      <c r="D26" s="17" t="s">
        <v>66</v>
      </c>
      <c r="E26" s="17" t="s">
        <v>82</v>
      </c>
      <c r="F26" s="6"/>
    </row>
    <row r="27" customFormat="false" ht="15" hidden="false" customHeight="false" outlineLevel="0" collapsed="false">
      <c r="A27" s="6"/>
      <c r="B27" s="18" t="s">
        <v>83</v>
      </c>
      <c r="C27" s="21" t="n">
        <v>0.095</v>
      </c>
      <c r="D27" s="17" t="s">
        <v>66</v>
      </c>
      <c r="E27" s="17" t="s">
        <v>84</v>
      </c>
      <c r="F27" s="6"/>
    </row>
    <row r="28" customFormat="false" ht="15" hidden="false" customHeight="false" outlineLevel="0" collapsed="false">
      <c r="A28" s="6"/>
      <c r="B28" s="18" t="s">
        <v>85</v>
      </c>
      <c r="C28" s="21" t="n">
        <v>0.5</v>
      </c>
      <c r="D28" s="17" t="s">
        <v>66</v>
      </c>
      <c r="E28" s="17" t="s">
        <v>86</v>
      </c>
      <c r="F28" s="6"/>
    </row>
    <row r="29" customFormat="false" ht="15" hidden="false" customHeight="false" outlineLevel="0" collapsed="false">
      <c r="A29" s="6"/>
      <c r="B29" s="18" t="s">
        <v>87</v>
      </c>
      <c r="C29" s="21" t="n">
        <v>0.05</v>
      </c>
      <c r="D29" s="17" t="s">
        <v>66</v>
      </c>
      <c r="E29" s="17" t="s">
        <v>88</v>
      </c>
      <c r="F29" s="6"/>
    </row>
    <row r="30" customFormat="false" ht="15" hidden="false" customHeight="false" outlineLevel="0" collapsed="false">
      <c r="A30" s="6"/>
      <c r="B30" s="18" t="s">
        <v>89</v>
      </c>
      <c r="C30" s="21" t="n">
        <v>0.21</v>
      </c>
      <c r="D30" s="17" t="s">
        <v>66</v>
      </c>
      <c r="E30" s="17" t="s">
        <v>90</v>
      </c>
      <c r="F30" s="6"/>
    </row>
    <row r="31" customFormat="false" ht="15" hidden="false" customHeight="false" outlineLevel="0" collapsed="false">
      <c r="A31" s="6"/>
      <c r="B31" s="9" t="s">
        <v>91</v>
      </c>
      <c r="C31" s="10"/>
      <c r="D31" s="10"/>
      <c r="E31" s="10"/>
      <c r="F31" s="10"/>
    </row>
    <row r="32" customFormat="false" ht="15" hidden="false" customHeight="false" outlineLevel="0" collapsed="false">
      <c r="A32" s="6"/>
      <c r="B32" s="18" t="s">
        <v>92</v>
      </c>
      <c r="C32" s="21" t="n">
        <v>0.65</v>
      </c>
      <c r="D32" s="17" t="s">
        <v>66</v>
      </c>
      <c r="E32" s="17" t="s">
        <v>93</v>
      </c>
      <c r="F32" s="6"/>
    </row>
    <row r="33" customFormat="false" ht="15" hidden="false" customHeight="false" outlineLevel="0" collapsed="false">
      <c r="A33" s="6"/>
      <c r="B33" s="9" t="s">
        <v>94</v>
      </c>
      <c r="C33" s="10"/>
      <c r="D33" s="10"/>
      <c r="E33" s="10"/>
      <c r="F33" s="10"/>
    </row>
    <row r="34" customFormat="false" ht="15" hidden="false" customHeight="false" outlineLevel="0" collapsed="false">
      <c r="A34" s="6"/>
      <c r="B34" s="18" t="s">
        <v>95</v>
      </c>
      <c r="C34" s="19" t="n">
        <v>50</v>
      </c>
      <c r="D34" s="17" t="s">
        <v>40</v>
      </c>
      <c r="E34" s="17" t="s">
        <v>96</v>
      </c>
      <c r="F34" s="6"/>
    </row>
    <row r="35" customFormat="false" ht="15" hidden="false" customHeight="false" outlineLevel="0" collapsed="false">
      <c r="A35" s="6"/>
      <c r="B35" s="18" t="s">
        <v>97</v>
      </c>
      <c r="C35" s="19" t="n">
        <v>500</v>
      </c>
      <c r="D35" s="17" t="s">
        <v>40</v>
      </c>
      <c r="E35" s="17" t="s">
        <v>98</v>
      </c>
      <c r="F35" s="6"/>
    </row>
    <row r="36" customFormat="false" ht="15" hidden="false" customHeight="false" outlineLevel="0" collapsed="false">
      <c r="A36" s="6"/>
      <c r="B36" s="18" t="s">
        <v>99</v>
      </c>
      <c r="C36" s="19" t="n">
        <v>200</v>
      </c>
      <c r="D36" s="17" t="s">
        <v>70</v>
      </c>
      <c r="E36" s="17" t="s">
        <v>100</v>
      </c>
      <c r="F36" s="6"/>
    </row>
    <row r="37" customFormat="false" ht="15" hidden="false" customHeight="false" outlineLevel="0" collapsed="false">
      <c r="A37" s="6"/>
      <c r="B37" s="18" t="s">
        <v>101</v>
      </c>
      <c r="C37" s="21" t="n">
        <v>0.0025</v>
      </c>
      <c r="D37" s="17" t="s">
        <v>66</v>
      </c>
      <c r="E37" s="17" t="s">
        <v>102</v>
      </c>
      <c r="F37" s="6"/>
    </row>
    <row r="38" customFormat="false" ht="15" hidden="false" customHeight="false" outlineLevel="0" collapsed="false">
      <c r="A38" s="6"/>
      <c r="B38" s="9" t="s">
        <v>103</v>
      </c>
      <c r="C38" s="10"/>
      <c r="D38" s="10"/>
      <c r="E38" s="10"/>
      <c r="F38" s="10"/>
    </row>
    <row r="39" customFormat="false" ht="15" hidden="false" customHeight="false" outlineLevel="0" collapsed="false">
      <c r="A39" s="6"/>
      <c r="B39" s="18" t="s">
        <v>104</v>
      </c>
      <c r="C39" s="19" t="n">
        <v>35</v>
      </c>
      <c r="D39" s="17" t="s">
        <v>105</v>
      </c>
      <c r="E39" s="17" t="s">
        <v>106</v>
      </c>
      <c r="F39" s="6"/>
    </row>
    <row r="40" customFormat="false" ht="15" hidden="false" customHeight="false" outlineLevel="0" collapsed="false">
      <c r="A40" s="6"/>
      <c r="B40" s="18" t="s">
        <v>107</v>
      </c>
      <c r="C40" s="19" t="n">
        <v>40</v>
      </c>
      <c r="D40" s="17" t="s">
        <v>105</v>
      </c>
      <c r="E40" s="17" t="s">
        <v>108</v>
      </c>
      <c r="F40"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33C00"/>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8"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109</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110</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23" t="s">
        <v>111</v>
      </c>
      <c r="D4" s="23" t="s">
        <v>112</v>
      </c>
      <c r="E4" s="23" t="s">
        <v>113</v>
      </c>
      <c r="F4" s="23" t="s">
        <v>114</v>
      </c>
      <c r="G4" s="23" t="s">
        <v>115</v>
      </c>
      <c r="H4" s="23" t="s">
        <v>116</v>
      </c>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7" t="s">
        <v>117</v>
      </c>
      <c r="C6" s="24" t="n">
        <v>0</v>
      </c>
      <c r="D6" s="24" t="n">
        <v>1</v>
      </c>
      <c r="E6" s="24" t="n">
        <v>2</v>
      </c>
      <c r="F6" s="24" t="n">
        <v>3</v>
      </c>
      <c r="G6" s="24" t="n">
        <v>4</v>
      </c>
      <c r="H6" s="24" t="n">
        <v>5</v>
      </c>
      <c r="I6" s="6"/>
    </row>
    <row r="7" customFormat="false" ht="15" hidden="false" customHeight="false" outlineLevel="0" collapsed="false">
      <c r="A7" s="6"/>
      <c r="B7" s="9" t="s">
        <v>118</v>
      </c>
      <c r="C7" s="10"/>
      <c r="D7" s="10"/>
      <c r="E7" s="10"/>
      <c r="F7" s="10"/>
      <c r="G7" s="10"/>
      <c r="H7" s="10"/>
      <c r="I7" s="10"/>
    </row>
    <row r="8" customFormat="false" ht="15" hidden="false" customHeight="false" outlineLevel="0" collapsed="false">
      <c r="A8" s="6"/>
      <c r="B8" s="18" t="s">
        <v>119</v>
      </c>
      <c r="C8" s="25" t="n">
        <v>0</v>
      </c>
      <c r="D8" s="25" t="n">
        <f aca="false">Growth_Capex</f>
        <v>500</v>
      </c>
      <c r="E8" s="25" t="n">
        <f aca="false">Growth_Capex</f>
        <v>500</v>
      </c>
      <c r="F8" s="25" t="n">
        <f aca="false">Growth_Capex</f>
        <v>500</v>
      </c>
      <c r="G8" s="25" t="n">
        <f aca="false">Growth_Capex</f>
        <v>500</v>
      </c>
      <c r="H8" s="25" t="n">
        <f aca="false">Growth_Capex</f>
        <v>500</v>
      </c>
      <c r="I8" s="6"/>
    </row>
    <row r="9" customFormat="false" ht="15" hidden="false" customHeight="false" outlineLevel="0" collapsed="false">
      <c r="A9" s="6"/>
      <c r="B9" s="18" t="s">
        <v>120</v>
      </c>
      <c r="C9" s="25" t="n">
        <v>0</v>
      </c>
      <c r="D9" s="25" t="n">
        <f aca="false">Opening_Net_PPE*Maint_Capex_Rate</f>
        <v>240</v>
      </c>
      <c r="E9" s="25" t="n">
        <f aca="false">D18*Maint_Capex_Factor</f>
        <v>350.35</v>
      </c>
      <c r="F9" s="25" t="n">
        <f aca="false">E18*Maint_Capex_Factor</f>
        <v>373.734625</v>
      </c>
      <c r="G9" s="25" t="n">
        <f aca="false">F18*Maint_Capex_Factor</f>
        <v>397.7623271875</v>
      </c>
      <c r="H9" s="25" t="n">
        <f aca="false">G18*Maint_Capex_Factor</f>
        <v>422.450791185156</v>
      </c>
      <c r="I9" s="6"/>
    </row>
    <row r="10" customFormat="false" ht="15" hidden="false" customHeight="false" outlineLevel="0" collapsed="false">
      <c r="A10" s="6"/>
      <c r="B10" s="26" t="s">
        <v>121</v>
      </c>
      <c r="C10" s="27" t="n">
        <v>0</v>
      </c>
      <c r="D10" s="27" t="n">
        <f aca="false">D8+D9</f>
        <v>740</v>
      </c>
      <c r="E10" s="27" t="n">
        <f aca="false">E8+E9</f>
        <v>850.35</v>
      </c>
      <c r="F10" s="27" t="n">
        <f aca="false">F8+F9</f>
        <v>873.734625</v>
      </c>
      <c r="G10" s="27" t="n">
        <f aca="false">G8+G9</f>
        <v>897.7623271875</v>
      </c>
      <c r="H10" s="27" t="n">
        <f aca="false">H8+H9</f>
        <v>922.450791185156</v>
      </c>
      <c r="I10" s="6"/>
    </row>
    <row r="11" customFormat="false" ht="15" hidden="false" customHeight="false" outlineLevel="0" collapsed="false">
      <c r="A11" s="6"/>
      <c r="B11" s="9" t="s">
        <v>122</v>
      </c>
      <c r="C11" s="10"/>
      <c r="D11" s="10"/>
      <c r="E11" s="10"/>
      <c r="F11" s="10"/>
      <c r="G11" s="10"/>
      <c r="H11" s="10"/>
      <c r="I11" s="10"/>
    </row>
    <row r="12" customFormat="false" ht="15" hidden="false" customHeight="false" outlineLevel="0" collapsed="false">
      <c r="A12" s="6"/>
      <c r="B12" s="18" t="s">
        <v>123</v>
      </c>
      <c r="C12" s="25" t="n">
        <v>0</v>
      </c>
      <c r="D12" s="25" t="n">
        <f aca="false">(Opening_Gross_PPE-Opening_Accum_Depr)/Asset_Life</f>
        <v>300</v>
      </c>
      <c r="E12" s="25" t="n">
        <f aca="false">(Opening_Gross_PPE-Opening_Accum_Depr)/Asset_Life</f>
        <v>300</v>
      </c>
      <c r="F12" s="25" t="n">
        <f aca="false">(Opening_Gross_PPE-Opening_Accum_Depr)/Asset_Life</f>
        <v>300</v>
      </c>
      <c r="G12" s="25" t="n">
        <f aca="false">(Opening_Gross_PPE-Opening_Accum_Depr)/Asset_Life</f>
        <v>300</v>
      </c>
      <c r="H12" s="25" t="n">
        <f aca="false">(Opening_Gross_PPE-Opening_Accum_Depr)/Asset_Life</f>
        <v>300</v>
      </c>
      <c r="I12" s="6"/>
    </row>
    <row r="13" customFormat="false" ht="15" hidden="false" customHeight="false" outlineLevel="0" collapsed="false">
      <c r="A13" s="6"/>
      <c r="B13" s="18" t="s">
        <v>124</v>
      </c>
      <c r="C13" s="25" t="n">
        <v>0</v>
      </c>
      <c r="D13" s="25" t="n">
        <f aca="false">Capex_Depr!$D$10/Asset_Life</f>
        <v>18.5</v>
      </c>
      <c r="E13" s="25" t="n">
        <f aca="false">Capex_Depr!$D$10/Asset_Life</f>
        <v>18.5</v>
      </c>
      <c r="F13" s="25" t="n">
        <f aca="false">Capex_Depr!$D$10/Asset_Life</f>
        <v>18.5</v>
      </c>
      <c r="G13" s="25" t="n">
        <f aca="false">Capex_Depr!$D$10/Asset_Life</f>
        <v>18.5</v>
      </c>
      <c r="H13" s="25" t="n">
        <f aca="false">Capex_Depr!$D$10/Asset_Life</f>
        <v>18.5</v>
      </c>
      <c r="I13" s="6"/>
    </row>
    <row r="14" customFormat="false" ht="15" hidden="false" customHeight="false" outlineLevel="0" collapsed="false">
      <c r="A14" s="6"/>
      <c r="B14" s="18" t="s">
        <v>125</v>
      </c>
      <c r="C14" s="25" t="n">
        <v>0</v>
      </c>
      <c r="D14" s="25" t="n">
        <f aca="false">0</f>
        <v>0</v>
      </c>
      <c r="E14" s="25" t="n">
        <f aca="false">Capex_Depr!$E$10/Asset_Life</f>
        <v>21.25875</v>
      </c>
      <c r="F14" s="25" t="n">
        <f aca="false">Capex_Depr!$E$10/Asset_Life</f>
        <v>21.25875</v>
      </c>
      <c r="G14" s="25" t="n">
        <f aca="false">Capex_Depr!$E$10/Asset_Life</f>
        <v>21.25875</v>
      </c>
      <c r="H14" s="25" t="n">
        <f aca="false">Capex_Depr!$E$10/Asset_Life</f>
        <v>21.25875</v>
      </c>
      <c r="I14" s="6"/>
    </row>
    <row r="15" customFormat="false" ht="15" hidden="false" customHeight="false" outlineLevel="0" collapsed="false">
      <c r="A15" s="6"/>
      <c r="B15" s="18" t="s">
        <v>126</v>
      </c>
      <c r="C15" s="25" t="n">
        <v>0</v>
      </c>
      <c r="D15" s="25" t="n">
        <f aca="false">0</f>
        <v>0</v>
      </c>
      <c r="E15" s="25" t="n">
        <f aca="false">0</f>
        <v>0</v>
      </c>
      <c r="F15" s="25" t="n">
        <f aca="false">Capex_Depr!$F$10/Asset_Life</f>
        <v>21.843365625</v>
      </c>
      <c r="G15" s="25" t="n">
        <f aca="false">Capex_Depr!$F$10/Asset_Life</f>
        <v>21.843365625</v>
      </c>
      <c r="H15" s="25" t="n">
        <f aca="false">Capex_Depr!$F$10/Asset_Life</f>
        <v>21.843365625</v>
      </c>
      <c r="I15" s="6"/>
    </row>
    <row r="16" customFormat="false" ht="15" hidden="false" customHeight="false" outlineLevel="0" collapsed="false">
      <c r="A16" s="6"/>
      <c r="B16" s="18" t="s">
        <v>127</v>
      </c>
      <c r="C16" s="25" t="n">
        <v>0</v>
      </c>
      <c r="D16" s="25" t="n">
        <f aca="false">0</f>
        <v>0</v>
      </c>
      <c r="E16" s="25" t="n">
        <f aca="false">0</f>
        <v>0</v>
      </c>
      <c r="F16" s="25" t="n">
        <f aca="false">0</f>
        <v>0</v>
      </c>
      <c r="G16" s="25" t="n">
        <f aca="false">Capex_Depr!$G$10/Asset_Life</f>
        <v>22.4440581796875</v>
      </c>
      <c r="H16" s="25" t="n">
        <f aca="false">Capex_Depr!$G$10/Asset_Life</f>
        <v>22.4440581796875</v>
      </c>
      <c r="I16" s="6"/>
    </row>
    <row r="17" customFormat="false" ht="15" hidden="false" customHeight="false" outlineLevel="0" collapsed="false">
      <c r="A17" s="6"/>
      <c r="B17" s="18" t="s">
        <v>128</v>
      </c>
      <c r="C17" s="25" t="n">
        <v>0</v>
      </c>
      <c r="D17" s="25" t="n">
        <f aca="false">0</f>
        <v>0</v>
      </c>
      <c r="E17" s="25" t="n">
        <f aca="false">0</f>
        <v>0</v>
      </c>
      <c r="F17" s="25" t="n">
        <f aca="false">0</f>
        <v>0</v>
      </c>
      <c r="G17" s="25" t="n">
        <f aca="false">0</f>
        <v>0</v>
      </c>
      <c r="H17" s="25" t="n">
        <f aca="false">Capex_Depr!$H$10/Asset_Life</f>
        <v>23.0612697796289</v>
      </c>
      <c r="I17" s="6"/>
    </row>
    <row r="18" customFormat="false" ht="15" hidden="false" customHeight="false" outlineLevel="0" collapsed="false">
      <c r="A18" s="6"/>
      <c r="B18" s="26" t="s">
        <v>129</v>
      </c>
      <c r="C18" s="27" t="n">
        <v>0</v>
      </c>
      <c r="D18" s="27" t="n">
        <f aca="false">SUM(D12:D17)</f>
        <v>318.5</v>
      </c>
      <c r="E18" s="27" t="n">
        <f aca="false">SUM(E12:E17)</f>
        <v>339.75875</v>
      </c>
      <c r="F18" s="27" t="n">
        <f aca="false">SUM(F12:F17)</f>
        <v>361.602115625</v>
      </c>
      <c r="G18" s="27" t="n">
        <f aca="false">SUM(G12:G17)</f>
        <v>384.046173804688</v>
      </c>
      <c r="H18" s="27" t="n">
        <f aca="false">SUM(H12:H17)</f>
        <v>407.107443584316</v>
      </c>
      <c r="I18"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33C00"/>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8"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130</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131</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23" t="s">
        <v>111</v>
      </c>
      <c r="D4" s="23" t="s">
        <v>112</v>
      </c>
      <c r="E4" s="23" t="s">
        <v>113</v>
      </c>
      <c r="F4" s="23" t="s">
        <v>114</v>
      </c>
      <c r="G4" s="23" t="s">
        <v>115</v>
      </c>
      <c r="H4" s="23" t="s">
        <v>116</v>
      </c>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6"/>
      <c r="C6" s="6"/>
      <c r="D6" s="6"/>
      <c r="E6" s="6"/>
      <c r="F6" s="6"/>
      <c r="G6" s="6"/>
      <c r="H6" s="6"/>
      <c r="I6" s="6"/>
    </row>
    <row r="7" customFormat="false" ht="15" hidden="false" customHeight="false" outlineLevel="0" collapsed="false">
      <c r="A7" s="6"/>
      <c r="B7" s="9" t="s">
        <v>132</v>
      </c>
      <c r="C7" s="10"/>
      <c r="D7" s="10"/>
      <c r="E7" s="10"/>
      <c r="F7" s="10"/>
      <c r="G7" s="10"/>
      <c r="H7" s="10"/>
      <c r="I7" s="10"/>
    </row>
    <row r="8" customFormat="false" ht="15" hidden="false" customHeight="false" outlineLevel="0" collapsed="false">
      <c r="A8" s="6"/>
      <c r="B8" s="18" t="s">
        <v>44</v>
      </c>
      <c r="C8" s="25" t="n">
        <f aca="false">Opening_Net_PPE</f>
        <v>12000</v>
      </c>
      <c r="D8" s="25" t="n">
        <f aca="false">C11</f>
        <v>12000</v>
      </c>
      <c r="E8" s="25" t="n">
        <f aca="false">D11</f>
        <v>12421.5</v>
      </c>
      <c r="F8" s="25" t="n">
        <f aca="false">E11</f>
        <v>12932.09125</v>
      </c>
      <c r="G8" s="25" t="n">
        <f aca="false">F11</f>
        <v>13444.223759375</v>
      </c>
      <c r="H8" s="25" t="n">
        <f aca="false">G11</f>
        <v>13957.9399127578</v>
      </c>
      <c r="I8" s="6"/>
    </row>
    <row r="9" customFormat="false" ht="15" hidden="false" customHeight="false" outlineLevel="0" collapsed="false">
      <c r="A9" s="6"/>
      <c r="B9" s="18" t="s">
        <v>133</v>
      </c>
      <c r="C9" s="25" t="n">
        <v>0</v>
      </c>
      <c r="D9" s="25" t="n">
        <f aca="false">Capex_Depr!D10</f>
        <v>740</v>
      </c>
      <c r="E9" s="25" t="n">
        <f aca="false">Capex_Depr!E10</f>
        <v>850.35</v>
      </c>
      <c r="F9" s="25" t="n">
        <f aca="false">Capex_Depr!F10</f>
        <v>873.734625</v>
      </c>
      <c r="G9" s="25" t="n">
        <f aca="false">Capex_Depr!G10</f>
        <v>897.7623271875</v>
      </c>
      <c r="H9" s="25" t="n">
        <f aca="false">Capex_Depr!H10</f>
        <v>922.450791185156</v>
      </c>
      <c r="I9" s="6"/>
    </row>
    <row r="10" customFormat="false" ht="15" hidden="false" customHeight="false" outlineLevel="0" collapsed="false">
      <c r="A10" s="6"/>
      <c r="B10" s="18" t="s">
        <v>134</v>
      </c>
      <c r="C10" s="25" t="n">
        <v>0</v>
      </c>
      <c r="D10" s="25" t="n">
        <f aca="false">CD_Total_Depr_Y1</f>
        <v>318.5</v>
      </c>
      <c r="E10" s="25" t="n">
        <f aca="false">CD_Total_Depr_Y2</f>
        <v>339.75875</v>
      </c>
      <c r="F10" s="25" t="n">
        <f aca="false">CD_Total_Depr_Y3</f>
        <v>361.602115625</v>
      </c>
      <c r="G10" s="25" t="n">
        <f aca="false">CD_Total_Depr_Y4</f>
        <v>384.046173804688</v>
      </c>
      <c r="H10" s="25" t="n">
        <f aca="false">CD_Total_Depr_Y5</f>
        <v>407.107443584316</v>
      </c>
      <c r="I10" s="6"/>
    </row>
    <row r="11" customFormat="false" ht="15" hidden="false" customHeight="false" outlineLevel="0" collapsed="false">
      <c r="A11" s="6"/>
      <c r="B11" s="26" t="s">
        <v>135</v>
      </c>
      <c r="C11" s="27" t="n">
        <f aca="false">Opening_Net_PPE</f>
        <v>12000</v>
      </c>
      <c r="D11" s="27" t="n">
        <f aca="false">D8+D9-D10</f>
        <v>12421.5</v>
      </c>
      <c r="E11" s="27" t="n">
        <f aca="false">E8+E9-E10</f>
        <v>12932.09125</v>
      </c>
      <c r="F11" s="27" t="n">
        <f aca="false">F8+F9-F10</f>
        <v>13444.223759375</v>
      </c>
      <c r="G11" s="27" t="n">
        <f aca="false">G8+G9-G10</f>
        <v>13957.9399127578</v>
      </c>
      <c r="H11" s="27" t="n">
        <f aca="false">H8+H9-H10</f>
        <v>14473.2832603587</v>
      </c>
      <c r="I11" s="6"/>
    </row>
    <row r="12" customFormat="false" ht="15" hidden="false" customHeight="false" outlineLevel="0" collapsed="false">
      <c r="A12" s="6"/>
      <c r="B12" s="9" t="s">
        <v>136</v>
      </c>
      <c r="C12" s="10"/>
      <c r="D12" s="10"/>
      <c r="E12" s="10"/>
      <c r="F12" s="10"/>
      <c r="G12" s="10"/>
      <c r="H12" s="10"/>
      <c r="I12" s="10"/>
    </row>
    <row r="13" customFormat="false" ht="15" hidden="false" customHeight="false" outlineLevel="0" collapsed="false">
      <c r="A13" s="6"/>
      <c r="B13" s="18" t="s">
        <v>137</v>
      </c>
      <c r="C13" s="25" t="n">
        <v>0</v>
      </c>
      <c r="D13" s="25" t="n">
        <f aca="false">(C11+D11)/2</f>
        <v>12210.75</v>
      </c>
      <c r="E13" s="25" t="n">
        <f aca="false">(D11+E11)/2</f>
        <v>12676.795625</v>
      </c>
      <c r="F13" s="25" t="n">
        <f aca="false">(E11+F11)/2</f>
        <v>13188.1575046875</v>
      </c>
      <c r="G13" s="25" t="n">
        <f aca="false">(F11+G11)/2</f>
        <v>13701.0818360664</v>
      </c>
      <c r="H13" s="25" t="n">
        <f aca="false">(G11+H11)/2</f>
        <v>14215.6115865582</v>
      </c>
      <c r="I13" s="6"/>
    </row>
    <row r="14" customFormat="false" ht="15" hidden="false" customHeight="false" outlineLevel="0" collapsed="false">
      <c r="A14" s="6"/>
      <c r="B14" s="6"/>
      <c r="C14" s="6"/>
      <c r="D14" s="6"/>
      <c r="E14" s="6"/>
      <c r="F14" s="6"/>
      <c r="G14" s="6"/>
      <c r="H14" s="6"/>
      <c r="I14" s="6"/>
    </row>
    <row r="15" customFormat="false" ht="15" hidden="false" customHeight="false" outlineLevel="0" collapsed="false">
      <c r="A15" s="6"/>
      <c r="B15" s="18" t="s">
        <v>81</v>
      </c>
      <c r="C15" s="28" t="n">
        <f aca="false">Reg_WACC</f>
        <v>0.06725</v>
      </c>
      <c r="D15" s="28" t="n">
        <f aca="false">Reg_WACC</f>
        <v>0.06725</v>
      </c>
      <c r="E15" s="28" t="n">
        <f aca="false">Reg_WACC</f>
        <v>0.06725</v>
      </c>
      <c r="F15" s="28" t="n">
        <f aca="false">Reg_WACC</f>
        <v>0.06725</v>
      </c>
      <c r="G15" s="28" t="n">
        <f aca="false">Reg_WACC</f>
        <v>0.06725</v>
      </c>
      <c r="H15" s="28" t="n">
        <f aca="false">Reg_WACC</f>
        <v>0.06725</v>
      </c>
      <c r="I15" s="6"/>
    </row>
    <row r="16" customFormat="false" ht="15" hidden="false" customHeight="false" outlineLevel="0" collapsed="false">
      <c r="A16" s="6"/>
      <c r="B16" s="18" t="s">
        <v>136</v>
      </c>
      <c r="C16" s="25" t="n">
        <v>0</v>
      </c>
      <c r="D16" s="25" t="n">
        <f aca="false">RB_Avg_Rate_Base_Y1*(1-Eq_Thickness)*Cost_of_Debt+RB_Avg_Rate_Base_Y1*Eq_Thickness*ROE</f>
        <v>885.279375</v>
      </c>
      <c r="E16" s="25" t="n">
        <f aca="false">RB_Avg_Rate_Base_Y2*(1-Eq_Thickness)*Cost_of_Debt+RB_Avg_Rate_Base_Y2*Eq_Thickness*ROE</f>
        <v>919.0676828125</v>
      </c>
      <c r="F16" s="25" t="n">
        <f aca="false">RB_Avg_Rate_Base_Y3*(1-Eq_Thickness)*Cost_of_Debt+RB_Avg_Rate_Base_Y3*Eq_Thickness*ROE</f>
        <v>956.141419089844</v>
      </c>
      <c r="G16" s="25" t="n">
        <f aca="false">RB_Avg_Rate_Base_Y4*(1-Eq_Thickness)*Cost_of_Debt+RB_Avg_Rate_Base_Y4*Eq_Thickness*ROE</f>
        <v>993.328433114814</v>
      </c>
      <c r="H16" s="25" t="n">
        <f aca="false">RB_Avg_Rate_Base_Y5*(1-Eq_Thickness)*Cost_of_Debt+RB_Avg_Rate_Base_Y5*Eq_Thickness*ROE</f>
        <v>1030.63184002547</v>
      </c>
      <c r="I16"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33C00"/>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8"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138</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139</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23" t="s">
        <v>111</v>
      </c>
      <c r="D4" s="23" t="s">
        <v>112</v>
      </c>
      <c r="E4" s="23" t="s">
        <v>113</v>
      </c>
      <c r="F4" s="23" t="s">
        <v>114</v>
      </c>
      <c r="G4" s="23" t="s">
        <v>115</v>
      </c>
      <c r="H4" s="23" t="s">
        <v>116</v>
      </c>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7" t="s">
        <v>117</v>
      </c>
      <c r="C6" s="24" t="n">
        <v>0</v>
      </c>
      <c r="D6" s="24" t="n">
        <v>1</v>
      </c>
      <c r="E6" s="24" t="n">
        <v>2</v>
      </c>
      <c r="F6" s="24" t="n">
        <v>3</v>
      </c>
      <c r="G6" s="24" t="n">
        <v>4</v>
      </c>
      <c r="H6" s="24" t="n">
        <v>5</v>
      </c>
      <c r="I6" s="6"/>
    </row>
    <row r="7" customFormat="false" ht="15" hidden="false" customHeight="false" outlineLevel="0" collapsed="false">
      <c r="A7" s="6"/>
      <c r="B7" s="9" t="s">
        <v>140</v>
      </c>
      <c r="C7" s="10"/>
      <c r="D7" s="10"/>
      <c r="E7" s="10"/>
      <c r="F7" s="10"/>
      <c r="G7" s="10"/>
      <c r="H7" s="10"/>
      <c r="I7" s="10"/>
    </row>
    <row r="8" customFormat="false" ht="15" hidden="false" customHeight="false" outlineLevel="0" collapsed="false">
      <c r="A8" s="6"/>
      <c r="B8" s="18" t="s">
        <v>141</v>
      </c>
      <c r="C8" s="25" t="n">
        <v>0</v>
      </c>
      <c r="D8" s="25" t="n">
        <f aca="false">OM_Base*0.45*(1+OM_Escalation)^(D6-1)</f>
        <v>382.5</v>
      </c>
      <c r="E8" s="25" t="n">
        <f aca="false">OM_Base*0.45*(1+OM_Escalation)^(E6-1)</f>
        <v>392.0625</v>
      </c>
      <c r="F8" s="25" t="n">
        <f aca="false">OM_Base*0.45*(1+OM_Escalation)^(F6-1)</f>
        <v>401.8640625</v>
      </c>
      <c r="G8" s="25" t="n">
        <f aca="false">OM_Base*0.45*(1+OM_Escalation)^(G6-1)</f>
        <v>411.9106640625</v>
      </c>
      <c r="H8" s="25" t="n">
        <f aca="false">OM_Base*0.45*(1+OM_Escalation)^(H6-1)</f>
        <v>422.208430664062</v>
      </c>
      <c r="I8" s="6"/>
    </row>
    <row r="9" customFormat="false" ht="15" hidden="false" customHeight="false" outlineLevel="0" collapsed="false">
      <c r="A9" s="6"/>
      <c r="B9" s="18" t="s">
        <v>142</v>
      </c>
      <c r="C9" s="25" t="n">
        <v>0</v>
      </c>
      <c r="D9" s="25" t="n">
        <f aca="false">OM_Base*0.25*(1+OM_Escalation)^(D6-1)</f>
        <v>212.5</v>
      </c>
      <c r="E9" s="25" t="n">
        <f aca="false">OM_Base*0.25*(1+OM_Escalation)^(E6-1)</f>
        <v>217.8125</v>
      </c>
      <c r="F9" s="25" t="n">
        <f aca="false">OM_Base*0.25*(1+OM_Escalation)^(F6-1)</f>
        <v>223.2578125</v>
      </c>
      <c r="G9" s="25" t="n">
        <f aca="false">OM_Base*0.25*(1+OM_Escalation)^(G6-1)</f>
        <v>228.8392578125</v>
      </c>
      <c r="H9" s="25" t="n">
        <f aca="false">OM_Base*0.25*(1+OM_Escalation)^(H6-1)</f>
        <v>234.560239257812</v>
      </c>
      <c r="I9" s="6"/>
    </row>
    <row r="10" customFormat="false" ht="15" hidden="false" customHeight="false" outlineLevel="0" collapsed="false">
      <c r="A10" s="6"/>
      <c r="B10" s="18" t="s">
        <v>143</v>
      </c>
      <c r="C10" s="25" t="n">
        <v>0</v>
      </c>
      <c r="D10" s="25" t="n">
        <f aca="false">OM_Base*0.08*(1+OM_Escalation)^(D6-1)</f>
        <v>68</v>
      </c>
      <c r="E10" s="25" t="n">
        <f aca="false">OM_Base*0.08*(1+OM_Escalation)^(E6-1)</f>
        <v>69.7</v>
      </c>
      <c r="F10" s="25" t="n">
        <f aca="false">OM_Base*0.08*(1+OM_Escalation)^(F6-1)</f>
        <v>71.4425</v>
      </c>
      <c r="G10" s="25" t="n">
        <f aca="false">OM_Base*0.08*(1+OM_Escalation)^(G6-1)</f>
        <v>73.2285625</v>
      </c>
      <c r="H10" s="25" t="n">
        <f aca="false">OM_Base*0.08*(1+OM_Escalation)^(H6-1)</f>
        <v>75.0592765625</v>
      </c>
      <c r="I10" s="6"/>
    </row>
    <row r="11" customFormat="false" ht="15" hidden="false" customHeight="false" outlineLevel="0" collapsed="false">
      <c r="A11" s="6"/>
      <c r="B11" s="18" t="s">
        <v>144</v>
      </c>
      <c r="C11" s="25" t="n">
        <v>0</v>
      </c>
      <c r="D11" s="25" t="n">
        <f aca="false">OM_Base*0.12*(1+OM_Escalation)^(D6-1)</f>
        <v>102</v>
      </c>
      <c r="E11" s="25" t="n">
        <f aca="false">OM_Base*0.12*(1+OM_Escalation)^(E6-1)</f>
        <v>104.55</v>
      </c>
      <c r="F11" s="25" t="n">
        <f aca="false">OM_Base*0.12*(1+OM_Escalation)^(F6-1)</f>
        <v>107.16375</v>
      </c>
      <c r="G11" s="25" t="n">
        <f aca="false">OM_Base*0.12*(1+OM_Escalation)^(G6-1)</f>
        <v>109.84284375</v>
      </c>
      <c r="H11" s="25" t="n">
        <f aca="false">OM_Base*0.12*(1+OM_Escalation)^(H6-1)</f>
        <v>112.58891484375</v>
      </c>
      <c r="I11" s="6"/>
    </row>
    <row r="12" customFormat="false" ht="15" hidden="false" customHeight="false" outlineLevel="0" collapsed="false">
      <c r="A12" s="6"/>
      <c r="B12" s="18" t="s">
        <v>145</v>
      </c>
      <c r="C12" s="25" t="n">
        <v>0</v>
      </c>
      <c r="D12" s="25" t="n">
        <f aca="false">OM_Base*0.05*(1+OM_Escalation)^(D6-1)</f>
        <v>42.5</v>
      </c>
      <c r="E12" s="25" t="n">
        <f aca="false">OM_Base*0.05*(1+OM_Escalation)^(E6-1)</f>
        <v>43.5625</v>
      </c>
      <c r="F12" s="25" t="n">
        <f aca="false">OM_Base*0.05*(1+OM_Escalation)^(F6-1)</f>
        <v>44.6515625</v>
      </c>
      <c r="G12" s="25" t="n">
        <f aca="false">OM_Base*0.05*(1+OM_Escalation)^(G6-1)</f>
        <v>45.7678515625</v>
      </c>
      <c r="H12" s="25" t="n">
        <f aca="false">OM_Base*0.05*(1+OM_Escalation)^(H6-1)</f>
        <v>46.9120478515625</v>
      </c>
      <c r="I12" s="6"/>
    </row>
    <row r="13" customFormat="false" ht="15" hidden="false" customHeight="false" outlineLevel="0" collapsed="false">
      <c r="A13" s="6"/>
      <c r="B13" s="18" t="s">
        <v>146</v>
      </c>
      <c r="C13" s="25" t="n">
        <v>0</v>
      </c>
      <c r="D13" s="25" t="n">
        <f aca="false">OM_Base*0.05*(1+OM_Escalation)^(D6-1)</f>
        <v>42.5</v>
      </c>
      <c r="E13" s="25" t="n">
        <f aca="false">OM_Base*0.05*(1+OM_Escalation)^(E6-1)</f>
        <v>43.5625</v>
      </c>
      <c r="F13" s="25" t="n">
        <f aca="false">OM_Base*0.05*(1+OM_Escalation)^(F6-1)</f>
        <v>44.6515625</v>
      </c>
      <c r="G13" s="25" t="n">
        <f aca="false">OM_Base*0.05*(1+OM_Escalation)^(G6-1)</f>
        <v>45.7678515625</v>
      </c>
      <c r="H13" s="25" t="n">
        <f aca="false">OM_Base*0.05*(1+OM_Escalation)^(H6-1)</f>
        <v>46.9120478515625</v>
      </c>
      <c r="I13" s="6"/>
    </row>
    <row r="14" customFormat="false" ht="15" hidden="false" customHeight="false" outlineLevel="0" collapsed="false">
      <c r="A14" s="6"/>
      <c r="B14" s="26" t="s">
        <v>147</v>
      </c>
      <c r="C14" s="27" t="n">
        <v>0</v>
      </c>
      <c r="D14" s="27" t="n">
        <f aca="false">SUM(D8:D13)</f>
        <v>850</v>
      </c>
      <c r="E14" s="27" t="n">
        <f aca="false">SUM(E8:E13)</f>
        <v>871.25</v>
      </c>
      <c r="F14" s="27" t="n">
        <f aca="false">SUM(F8:F13)</f>
        <v>893.03125</v>
      </c>
      <c r="G14" s="27" t="n">
        <f aca="false">SUM(G8:G13)</f>
        <v>915.35703125</v>
      </c>
      <c r="H14" s="27" t="n">
        <f aca="false">SUM(H8:H13)</f>
        <v>938.24095703125</v>
      </c>
      <c r="I14"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33C00"/>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8"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148</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149</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23" t="s">
        <v>111</v>
      </c>
      <c r="D4" s="23" t="s">
        <v>112</v>
      </c>
      <c r="E4" s="23" t="s">
        <v>113</v>
      </c>
      <c r="F4" s="23" t="s">
        <v>114</v>
      </c>
      <c r="G4" s="23" t="s">
        <v>115</v>
      </c>
      <c r="H4" s="23" t="s">
        <v>116</v>
      </c>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6"/>
      <c r="C6" s="6"/>
      <c r="D6" s="6"/>
      <c r="E6" s="6"/>
      <c r="F6" s="6"/>
      <c r="G6" s="6"/>
      <c r="H6" s="6"/>
      <c r="I6" s="6"/>
    </row>
    <row r="7" customFormat="false" ht="15" hidden="false" customHeight="false" outlineLevel="0" collapsed="false">
      <c r="A7" s="6"/>
      <c r="B7" s="9" t="s">
        <v>150</v>
      </c>
      <c r="C7" s="10"/>
      <c r="D7" s="10"/>
      <c r="E7" s="10"/>
      <c r="F7" s="10"/>
      <c r="G7" s="10"/>
      <c r="H7" s="10"/>
      <c r="I7" s="10"/>
    </row>
    <row r="8" customFormat="false" ht="15" hidden="false" customHeight="false" outlineLevel="0" collapsed="false">
      <c r="A8" s="6"/>
      <c r="B8" s="18" t="s">
        <v>151</v>
      </c>
      <c r="C8" s="25" t="n">
        <v>0</v>
      </c>
      <c r="D8" s="25" t="n">
        <f aca="false">Opex!D14</f>
        <v>850</v>
      </c>
      <c r="E8" s="25" t="n">
        <f aca="false">Opex!E14</f>
        <v>871.25</v>
      </c>
      <c r="F8" s="25" t="n">
        <f aca="false">Opex!F14</f>
        <v>893.03125</v>
      </c>
      <c r="G8" s="25" t="n">
        <f aca="false">Opex!G14</f>
        <v>915.35703125</v>
      </c>
      <c r="H8" s="25" t="n">
        <f aca="false">Opex!H14</f>
        <v>938.24095703125</v>
      </c>
      <c r="I8" s="6"/>
    </row>
    <row r="9" customFormat="false" ht="15" hidden="false" customHeight="false" outlineLevel="0" collapsed="false">
      <c r="A9" s="6"/>
      <c r="B9" s="18" t="s">
        <v>152</v>
      </c>
      <c r="C9" s="25" t="n">
        <v>0</v>
      </c>
      <c r="D9" s="25" t="n">
        <f aca="false">CD_Total_Depr_Y1</f>
        <v>318.5</v>
      </c>
      <c r="E9" s="25" t="n">
        <f aca="false">CD_Total_Depr_Y2</f>
        <v>339.75875</v>
      </c>
      <c r="F9" s="25" t="n">
        <f aca="false">CD_Total_Depr_Y3</f>
        <v>361.602115625</v>
      </c>
      <c r="G9" s="25" t="n">
        <f aca="false">CD_Total_Depr_Y4</f>
        <v>384.046173804688</v>
      </c>
      <c r="H9" s="25" t="n">
        <f aca="false">CD_Total_Depr_Y5</f>
        <v>407.107443584316</v>
      </c>
      <c r="I9" s="6"/>
    </row>
    <row r="10" customFormat="false" ht="15" hidden="false" customHeight="false" outlineLevel="0" collapsed="false">
      <c r="A10" s="6"/>
      <c r="B10" s="18" t="s">
        <v>153</v>
      </c>
      <c r="C10" s="25" t="n">
        <v>0</v>
      </c>
      <c r="D10" s="25" t="n">
        <f aca="false">RB_Avg_Rate_Base_Y1*Eq_Thickness*ROE*Tax_Rate/(1-Tax_Rate)</f>
        <v>154.180039556962</v>
      </c>
      <c r="E10" s="25" t="n">
        <f aca="false">RB_Avg_Rate_Base_Y2*Eq_Thickness*ROE*Tax_Rate/(1-Tax_Rate)</f>
        <v>160.064602986551</v>
      </c>
      <c r="F10" s="25" t="n">
        <f aca="false">RB_Avg_Rate_Base_Y3*Eq_Thickness*ROE*Tax_Rate/(1-Tax_Rate)</f>
        <v>166.521355834504</v>
      </c>
      <c r="G10" s="25" t="n">
        <f aca="false">RB_Avg_Rate_Base_Y4*Eq_Thickness*ROE*Tax_Rate/(1-Tax_Rate)</f>
        <v>172.997837107294</v>
      </c>
      <c r="H10" s="25" t="n">
        <f aca="false">RB_Avg_Rate_Base_Y5*Eq_Thickness*ROE*Tax_Rate/(1-Tax_Rate)</f>
        <v>179.494589336606</v>
      </c>
      <c r="I10" s="6"/>
    </row>
    <row r="11" customFormat="false" ht="15" hidden="false" customHeight="false" outlineLevel="0" collapsed="false">
      <c r="A11" s="6"/>
      <c r="B11" s="18" t="s">
        <v>154</v>
      </c>
      <c r="C11" s="25" t="n">
        <v>0</v>
      </c>
      <c r="D11" s="25" t="n">
        <f aca="false">RB_Allowed_Return_Y1</f>
        <v>885.279375</v>
      </c>
      <c r="E11" s="25" t="n">
        <f aca="false">RB_Allowed_Return_Y2</f>
        <v>919.0676828125</v>
      </c>
      <c r="F11" s="25" t="n">
        <f aca="false">RB_Allowed_Return_Y3</f>
        <v>956.141419089844</v>
      </c>
      <c r="G11" s="25" t="n">
        <f aca="false">RB_Allowed_Return_Y4</f>
        <v>993.328433114814</v>
      </c>
      <c r="H11" s="25" t="n">
        <f aca="false">RB_Allowed_Return_Y5</f>
        <v>1030.63184002547</v>
      </c>
      <c r="I11" s="6"/>
    </row>
    <row r="12" customFormat="false" ht="15" hidden="false" customHeight="false" outlineLevel="0" collapsed="false">
      <c r="A12" s="6"/>
      <c r="B12" s="26" t="s">
        <v>155</v>
      </c>
      <c r="C12" s="29" t="n">
        <v>0</v>
      </c>
      <c r="D12" s="29" t="n">
        <f aca="false">D8+D9+D10+D11</f>
        <v>2207.95941455696</v>
      </c>
      <c r="E12" s="29" t="n">
        <f aca="false">E8+E9+E10+E11</f>
        <v>2290.14103579905</v>
      </c>
      <c r="F12" s="29" t="n">
        <f aca="false">F8+F9+F10+F11</f>
        <v>2377.29614054935</v>
      </c>
      <c r="G12" s="29" t="n">
        <f aca="false">G8+G9+G10+G11</f>
        <v>2465.7294752768</v>
      </c>
      <c r="H12" s="29" t="n">
        <f aca="false">H8+H9+H10+H11</f>
        <v>2555.47482997764</v>
      </c>
      <c r="I12" s="6"/>
    </row>
    <row r="13" customFormat="false" ht="15" hidden="false" customHeight="false" outlineLevel="0" collapsed="false">
      <c r="A13" s="6"/>
      <c r="B13" s="7" t="s">
        <v>156</v>
      </c>
      <c r="C13" s="6"/>
      <c r="D13" s="6"/>
      <c r="E13" s="6"/>
      <c r="F13" s="6"/>
      <c r="G13" s="6"/>
      <c r="H13" s="6"/>
      <c r="I13" s="6"/>
    </row>
    <row r="14" customFormat="false" ht="15" hidden="false" customHeight="false" outlineLevel="0" collapsed="false">
      <c r="A14" s="6"/>
      <c r="B14" s="18" t="s">
        <v>157</v>
      </c>
      <c r="C14" s="25" t="n">
        <v>0</v>
      </c>
      <c r="D14" s="25" t="n">
        <f aca="false">Annual_MWh*Heat_Rate*Fuel_Price/1000000000</f>
        <v>513</v>
      </c>
      <c r="E14" s="25" t="n">
        <f aca="false">Annual_MWh*Heat_Rate*Fuel_Price/1000000000</f>
        <v>513</v>
      </c>
      <c r="F14" s="25" t="n">
        <f aca="false">Annual_MWh*Heat_Rate*Fuel_Price/1000000000</f>
        <v>513</v>
      </c>
      <c r="G14" s="25" t="n">
        <f aca="false">Annual_MWh*Heat_Rate*Fuel_Price/1000000000</f>
        <v>513</v>
      </c>
      <c r="H14" s="25" t="n">
        <f aca="false">Annual_MWh*Heat_Rate*Fuel_Price/1000000000</f>
        <v>513</v>
      </c>
      <c r="I14" s="6"/>
    </row>
    <row r="15" customFormat="false" ht="15" hidden="false" customHeight="false" outlineLevel="0" collapsed="false">
      <c r="A15" s="6"/>
      <c r="B15" s="26" t="s">
        <v>158</v>
      </c>
      <c r="C15" s="27" t="n">
        <v>0</v>
      </c>
      <c r="D15" s="27" t="n">
        <f aca="false">D12+D14</f>
        <v>2720.95941455696</v>
      </c>
      <c r="E15" s="27" t="n">
        <f aca="false">E12+E14</f>
        <v>2803.14103579905</v>
      </c>
      <c r="F15" s="27" t="n">
        <f aca="false">F12+F14</f>
        <v>2890.29614054935</v>
      </c>
      <c r="G15" s="27" t="n">
        <f aca="false">G12+G14</f>
        <v>2978.7294752768</v>
      </c>
      <c r="H15" s="27" t="n">
        <f aca="false">H12+H14</f>
        <v>3068.47482997764</v>
      </c>
      <c r="I15"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5623"/>
    <pageSetUpPr fitToPage="false"/>
  </sheetPr>
  <dimension ref="A1:A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8"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159</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160</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23" t="s">
        <v>111</v>
      </c>
      <c r="D4" s="23" t="s">
        <v>112</v>
      </c>
      <c r="E4" s="23" t="s">
        <v>113</v>
      </c>
      <c r="F4" s="23" t="s">
        <v>114</v>
      </c>
      <c r="G4" s="23" t="s">
        <v>115</v>
      </c>
      <c r="H4" s="23" t="s">
        <v>116</v>
      </c>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6"/>
      <c r="C6" s="6"/>
      <c r="D6" s="6"/>
      <c r="E6" s="6"/>
      <c r="F6" s="6"/>
      <c r="G6" s="6"/>
      <c r="H6" s="6"/>
      <c r="I6" s="6"/>
    </row>
    <row r="7" customFormat="false" ht="15" hidden="false" customHeight="false" outlineLevel="0" collapsed="false">
      <c r="A7" s="6"/>
      <c r="B7" s="9" t="s">
        <v>161</v>
      </c>
      <c r="C7" s="10"/>
      <c r="D7" s="10"/>
      <c r="E7" s="10"/>
      <c r="F7" s="10"/>
      <c r="G7" s="10"/>
      <c r="H7" s="10"/>
      <c r="I7" s="10"/>
    </row>
    <row r="8" customFormat="false" ht="15" hidden="false" customHeight="false" outlineLevel="0" collapsed="false">
      <c r="A8" s="6"/>
      <c r="B8" s="18" t="s">
        <v>46</v>
      </c>
      <c r="C8" s="25" t="n">
        <f aca="false">Opening_LT_Debt</f>
        <v>6000</v>
      </c>
      <c r="D8" s="25" t="n">
        <f aca="false">C10</f>
        <v>6000</v>
      </c>
      <c r="E8" s="25" t="n">
        <f aca="false">D10</f>
        <v>6050</v>
      </c>
      <c r="F8" s="25" t="n">
        <f aca="false">E10</f>
        <v>6100</v>
      </c>
      <c r="G8" s="25" t="n">
        <f aca="false">F10</f>
        <v>6150</v>
      </c>
      <c r="H8" s="25" t="n">
        <f aca="false">G10</f>
        <v>6200</v>
      </c>
      <c r="I8" s="6"/>
    </row>
    <row r="9" customFormat="false" ht="15" hidden="false" customHeight="false" outlineLevel="0" collapsed="false">
      <c r="A9" s="6"/>
      <c r="B9" s="18" t="s">
        <v>162</v>
      </c>
      <c r="C9" s="25" t="n">
        <v>0</v>
      </c>
      <c r="D9" s="25" t="n">
        <f aca="false">MIN(LT_Debt_Repayment,D8)</f>
        <v>200</v>
      </c>
      <c r="E9" s="25" t="n">
        <f aca="false">MIN(LT_Debt_Repayment,E8)</f>
        <v>200</v>
      </c>
      <c r="F9" s="25" t="n">
        <f aca="false">MIN(LT_Debt_Repayment,F8)</f>
        <v>200</v>
      </c>
      <c r="G9" s="25" t="n">
        <f aca="false">MIN(LT_Debt_Repayment,G8)</f>
        <v>200</v>
      </c>
      <c r="H9" s="25" t="n">
        <f aca="false">MIN(LT_Debt_Repayment,H8)</f>
        <v>200</v>
      </c>
      <c r="I9" s="6"/>
    </row>
    <row r="10" customFormat="false" ht="15" hidden="false" customHeight="false" outlineLevel="0" collapsed="false">
      <c r="A10" s="6"/>
      <c r="B10" s="26" t="s">
        <v>163</v>
      </c>
      <c r="C10" s="27" t="n">
        <f aca="false">Opening_LT_Debt</f>
        <v>6000</v>
      </c>
      <c r="D10" s="27" t="n">
        <f aca="false">D8+D12-D9</f>
        <v>6050</v>
      </c>
      <c r="E10" s="27" t="n">
        <f aca="false">E8+E12-E9</f>
        <v>6100</v>
      </c>
      <c r="F10" s="27" t="n">
        <f aca="false">F8+F12-F9</f>
        <v>6150</v>
      </c>
      <c r="G10" s="27" t="n">
        <f aca="false">G8+G12-G9</f>
        <v>6200</v>
      </c>
      <c r="H10" s="27" t="n">
        <f aca="false">H8+H12-H9</f>
        <v>6250</v>
      </c>
      <c r="I10" s="6"/>
    </row>
    <row r="11" customFormat="false" ht="15" hidden="false" customHeight="false" outlineLevel="0" collapsed="false">
      <c r="A11" s="6"/>
      <c r="B11" s="18" t="s">
        <v>164</v>
      </c>
      <c r="C11" s="25" t="n">
        <v>0</v>
      </c>
      <c r="D11" s="25" t="n">
        <f aca="false">D8*Cost_of_Debt</f>
        <v>300</v>
      </c>
      <c r="E11" s="25" t="n">
        <f aca="false">E8*Cost_of_Debt</f>
        <v>302.5</v>
      </c>
      <c r="F11" s="25" t="n">
        <f aca="false">F8*Cost_of_Debt</f>
        <v>305</v>
      </c>
      <c r="G11" s="25" t="n">
        <f aca="false">G8*Cost_of_Debt</f>
        <v>307.5</v>
      </c>
      <c r="H11" s="25" t="n">
        <f aca="false">H8*Cost_of_Debt</f>
        <v>310</v>
      </c>
      <c r="I11" s="6"/>
    </row>
    <row r="12" customFormat="false" ht="15" hidden="false" customHeight="false" outlineLevel="0" collapsed="false">
      <c r="A12" s="6"/>
      <c r="B12" s="18" t="s">
        <v>165</v>
      </c>
      <c r="C12" s="25" t="n">
        <f aca="false">0</f>
        <v>0</v>
      </c>
      <c r="D12" s="25" t="n">
        <f aca="false">Growth_Capex*(1-Eq_Thickness)</f>
        <v>250</v>
      </c>
      <c r="E12" s="25" t="n">
        <f aca="false">Growth_Capex*(1-Eq_Thickness)</f>
        <v>250</v>
      </c>
      <c r="F12" s="25" t="n">
        <f aca="false">Growth_Capex*(1-Eq_Thickness)</f>
        <v>250</v>
      </c>
      <c r="G12" s="25" t="n">
        <f aca="false">Growth_Capex*(1-Eq_Thickness)</f>
        <v>250</v>
      </c>
      <c r="H12" s="25" t="n">
        <f aca="false">Growth_Capex*(1-Eq_Thickness)</f>
        <v>250</v>
      </c>
      <c r="I12" s="6"/>
    </row>
    <row r="13" customFormat="false" ht="15" hidden="false" customHeight="false" outlineLevel="0" collapsed="false">
      <c r="A13" s="6"/>
      <c r="B13" s="9" t="s">
        <v>166</v>
      </c>
      <c r="C13" s="10"/>
      <c r="D13" s="10"/>
      <c r="E13" s="10"/>
      <c r="F13" s="10"/>
      <c r="G13" s="10"/>
      <c r="H13" s="10"/>
      <c r="I13" s="10"/>
    </row>
    <row r="14" customFormat="false" ht="15" hidden="false" customHeight="false" outlineLevel="0" collapsed="false">
      <c r="A14" s="6"/>
      <c r="B14" s="18" t="s">
        <v>167</v>
      </c>
      <c r="C14" s="25" t="n">
        <v>0</v>
      </c>
      <c r="D14" s="25" t="n">
        <f aca="false">0</f>
        <v>0</v>
      </c>
      <c r="E14" s="25" t="n">
        <f aca="false">D18</f>
        <v>78.9291503256677</v>
      </c>
      <c r="F14" s="25" t="n">
        <f aca="false">E18</f>
        <v>81.715496341205</v>
      </c>
      <c r="G14" s="25" t="n">
        <f aca="false">F18</f>
        <v>75.1534568599965</v>
      </c>
      <c r="H14" s="25" t="n">
        <f aca="false">G18</f>
        <v>58.770066091008</v>
      </c>
      <c r="I14" s="6"/>
    </row>
    <row r="15" customFormat="false" ht="15" hidden="false" customHeight="false" outlineLevel="0" collapsed="false">
      <c r="A15" s="6"/>
      <c r="B15" s="18" t="s">
        <v>168</v>
      </c>
      <c r="C15" s="30" t="n">
        <v>0</v>
      </c>
      <c r="D15" s="30" t="n">
        <f aca="false">CF_Pre_Rev_Cash_Y1</f>
        <v>-28.9291503256677</v>
      </c>
      <c r="E15" s="30" t="n">
        <f aca="false">CF_Pre_Rev_Cash_Y2</f>
        <v>47.2136539844627</v>
      </c>
      <c r="F15" s="30" t="n">
        <f aca="false">CF_Pre_Rev_Cash_Y3</f>
        <v>56.5620394812086</v>
      </c>
      <c r="G15" s="30" t="n">
        <f aca="false">CF_Pre_Rev_Cash_Y4</f>
        <v>66.3833907689885</v>
      </c>
      <c r="H15" s="30" t="n">
        <f aca="false">CF_Pre_Rev_Cash_Y5</f>
        <v>76.3262223012114</v>
      </c>
      <c r="I15" s="6"/>
    </row>
    <row r="16" customFormat="false" ht="15" hidden="false" customHeight="false" outlineLevel="0" collapsed="false">
      <c r="A16" s="6"/>
      <c r="B16" s="18" t="s">
        <v>169</v>
      </c>
      <c r="C16" s="25" t="n">
        <v>0</v>
      </c>
      <c r="D16" s="25" t="n">
        <f aca="false">MAX(0,Min_Cash-D15)</f>
        <v>78.9291503256677</v>
      </c>
      <c r="E16" s="25" t="n">
        <f aca="false">MAX(0,Min_Cash-E15)</f>
        <v>2.78634601553733</v>
      </c>
      <c r="F16" s="25" t="n">
        <f aca="false">MAX(0,Min_Cash-F15)</f>
        <v>0</v>
      </c>
      <c r="G16" s="25" t="n">
        <f aca="false">MAX(0,Min_Cash-G15)</f>
        <v>0</v>
      </c>
      <c r="H16" s="25" t="n">
        <f aca="false">MAX(0,Min_Cash-H15)</f>
        <v>0</v>
      </c>
      <c r="I16" s="6"/>
    </row>
    <row r="17" customFormat="false" ht="15" hidden="false" customHeight="false" outlineLevel="0" collapsed="false">
      <c r="A17" s="6"/>
      <c r="B17" s="18" t="s">
        <v>170</v>
      </c>
      <c r="C17" s="25" t="n">
        <v>0</v>
      </c>
      <c r="D17" s="25" t="n">
        <f aca="false">MIN(D14,MAX(0,D15-Min_Cash))</f>
        <v>0</v>
      </c>
      <c r="E17" s="25" t="n">
        <f aca="false">MIN(E14,MAX(0,E15-Min_Cash))</f>
        <v>0</v>
      </c>
      <c r="F17" s="25" t="n">
        <f aca="false">MIN(F14,MAX(0,F15-Min_Cash))</f>
        <v>6.56203948120856</v>
      </c>
      <c r="G17" s="25" t="n">
        <f aca="false">MIN(G14,MAX(0,G15-Min_Cash))</f>
        <v>16.3833907689885</v>
      </c>
      <c r="H17" s="25" t="n">
        <f aca="false">MIN(H14,MAX(0,H15-Min_Cash))</f>
        <v>26.3262223012114</v>
      </c>
      <c r="I17" s="6"/>
    </row>
    <row r="18" customFormat="false" ht="15" hidden="false" customHeight="false" outlineLevel="0" collapsed="false">
      <c r="A18" s="6"/>
      <c r="B18" s="26" t="s">
        <v>171</v>
      </c>
      <c r="C18" s="27" t="n">
        <v>0</v>
      </c>
      <c r="D18" s="27" t="n">
        <f aca="false">D14+D16-D17</f>
        <v>78.9291503256677</v>
      </c>
      <c r="E18" s="27" t="n">
        <f aca="false">E14+E16-E17</f>
        <v>81.715496341205</v>
      </c>
      <c r="F18" s="27" t="n">
        <f aca="false">F14+F16-F17</f>
        <v>75.1534568599965</v>
      </c>
      <c r="G18" s="27" t="n">
        <f aca="false">G14+G16-G17</f>
        <v>58.770066091008</v>
      </c>
      <c r="H18" s="27" t="n">
        <f aca="false">H14+H16-H17</f>
        <v>32.4438437897966</v>
      </c>
      <c r="I18" s="6"/>
    </row>
    <row r="19" customFormat="false" ht="15" hidden="false" customHeight="false" outlineLevel="0" collapsed="false">
      <c r="A19" s="6"/>
      <c r="B19" s="18" t="s">
        <v>172</v>
      </c>
      <c r="C19" s="25" t="n">
        <v>0</v>
      </c>
      <c r="D19" s="25" t="n">
        <f aca="false">D14*Cost_of_Debt</f>
        <v>0</v>
      </c>
      <c r="E19" s="25" t="n">
        <f aca="false">E14*Cost_of_Debt</f>
        <v>3.94645751628339</v>
      </c>
      <c r="F19" s="25" t="n">
        <f aca="false">F14*Cost_of_Debt</f>
        <v>4.08577481706025</v>
      </c>
      <c r="G19" s="25" t="n">
        <f aca="false">G14*Cost_of_Debt</f>
        <v>3.75767284299982</v>
      </c>
      <c r="H19" s="25" t="n">
        <f aca="false">H14*Cost_of_Debt</f>
        <v>2.9385033045504</v>
      </c>
      <c r="I19" s="6"/>
    </row>
    <row r="20" customFormat="false" ht="15" hidden="false" customHeight="false" outlineLevel="0" collapsed="false">
      <c r="A20" s="6"/>
      <c r="B20" s="18" t="s">
        <v>173</v>
      </c>
      <c r="C20" s="25" t="n">
        <v>0</v>
      </c>
      <c r="D20" s="25" t="n">
        <f aca="false">(Revolver_Limit-D14)*Commit_Fee_Rate</f>
        <v>1.25</v>
      </c>
      <c r="E20" s="25" t="n">
        <f aca="false">(Revolver_Limit-E14)*Commit_Fee_Rate</f>
        <v>1.05267712418583</v>
      </c>
      <c r="F20" s="25" t="n">
        <f aca="false">(Revolver_Limit-F14)*Commit_Fee_Rate</f>
        <v>1.04571125914699</v>
      </c>
      <c r="G20" s="25" t="n">
        <f aca="false">(Revolver_Limit-G14)*Commit_Fee_Rate</f>
        <v>1.06211635785001</v>
      </c>
      <c r="H20" s="25" t="n">
        <f aca="false">(Revolver_Limit-H14)*Commit_Fee_Rate</f>
        <v>1.10307483477248</v>
      </c>
      <c r="I20" s="6"/>
    </row>
    <row r="21" customFormat="false" ht="15" hidden="false" customHeight="false" outlineLevel="0" collapsed="false">
      <c r="A21" s="6"/>
      <c r="B21" s="6"/>
      <c r="C21" s="6"/>
      <c r="D21" s="6"/>
      <c r="E21" s="6"/>
      <c r="F21" s="6"/>
      <c r="G21" s="6"/>
      <c r="H21" s="6"/>
      <c r="I21" s="6"/>
    </row>
    <row r="22" customFormat="false" ht="15" hidden="false" customHeight="false" outlineLevel="0" collapsed="false">
      <c r="A22" s="6"/>
      <c r="B22" s="26" t="s">
        <v>174</v>
      </c>
      <c r="C22" s="27" t="n">
        <v>0</v>
      </c>
      <c r="D22" s="27" t="n">
        <f aca="false">D11+D19+D20</f>
        <v>301.25</v>
      </c>
      <c r="E22" s="27" t="n">
        <f aca="false">E11+E19+E20</f>
        <v>307.499134640469</v>
      </c>
      <c r="F22" s="27" t="n">
        <f aca="false">F11+F19+F20</f>
        <v>310.131486076207</v>
      </c>
      <c r="G22" s="27" t="n">
        <f aca="false">G11+G19+G20</f>
        <v>312.31978920085</v>
      </c>
      <c r="H22" s="27" t="n">
        <f aca="false">H11+H19+H20</f>
        <v>314.041578139323</v>
      </c>
      <c r="I22"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8"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175</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176</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23" t="s">
        <v>111</v>
      </c>
      <c r="D4" s="23" t="s">
        <v>112</v>
      </c>
      <c r="E4" s="23" t="s">
        <v>113</v>
      </c>
      <c r="F4" s="23" t="s">
        <v>114</v>
      </c>
      <c r="G4" s="23" t="s">
        <v>115</v>
      </c>
      <c r="H4" s="23" t="s">
        <v>116</v>
      </c>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6"/>
      <c r="C6" s="6"/>
      <c r="D6" s="6"/>
      <c r="E6" s="6"/>
      <c r="F6" s="6"/>
      <c r="G6" s="6"/>
      <c r="H6" s="6"/>
      <c r="I6" s="6"/>
    </row>
    <row r="7" customFormat="false" ht="15" hidden="false" customHeight="false" outlineLevel="0" collapsed="false">
      <c r="A7" s="6"/>
      <c r="B7" s="9" t="s">
        <v>177</v>
      </c>
      <c r="C7" s="10"/>
      <c r="D7" s="10"/>
      <c r="E7" s="10"/>
      <c r="F7" s="10"/>
      <c r="G7" s="10"/>
      <c r="H7" s="10"/>
      <c r="I7" s="10"/>
    </row>
    <row r="8" customFormat="false" ht="15" hidden="false" customHeight="false" outlineLevel="0" collapsed="false">
      <c r="A8" s="6"/>
      <c r="B8" s="26" t="s">
        <v>158</v>
      </c>
      <c r="C8" s="27" t="n">
        <v>0</v>
      </c>
      <c r="D8" s="27" t="n">
        <f aca="false">RR_Total_Rev_Y1</f>
        <v>2720.95941455696</v>
      </c>
      <c r="E8" s="27" t="n">
        <f aca="false">RR_Total_Rev_Y2</f>
        <v>2803.14103579905</v>
      </c>
      <c r="F8" s="27" t="n">
        <f aca="false">RR_Total_Rev_Y3</f>
        <v>2890.29614054935</v>
      </c>
      <c r="G8" s="27" t="n">
        <f aca="false">RR_Total_Rev_Y4</f>
        <v>2978.7294752768</v>
      </c>
      <c r="H8" s="27" t="n">
        <f aca="false">RR_Total_Rev_Y5</f>
        <v>3068.47482997764</v>
      </c>
      <c r="I8" s="6"/>
    </row>
    <row r="9" customFormat="false" ht="15" hidden="false" customHeight="false" outlineLevel="0" collapsed="false">
      <c r="A9" s="6"/>
      <c r="B9" s="18" t="s">
        <v>178</v>
      </c>
      <c r="C9" s="25" t="n">
        <v>0</v>
      </c>
      <c r="D9" s="25" t="n">
        <f aca="false">RR_Base_Rev_Y1</f>
        <v>2207.95941455696</v>
      </c>
      <c r="E9" s="25" t="n">
        <f aca="false">RR_Base_Rev_Y2</f>
        <v>2290.14103579905</v>
      </c>
      <c r="F9" s="25" t="n">
        <f aca="false">RR_Base_Rev_Y3</f>
        <v>2377.29614054935</v>
      </c>
      <c r="G9" s="25" t="n">
        <f aca="false">RR_Base_Rev_Y4</f>
        <v>2465.7294752768</v>
      </c>
      <c r="H9" s="25" t="n">
        <f aca="false">RR_Base_Rev_Y5</f>
        <v>2555.47482997764</v>
      </c>
      <c r="I9" s="6"/>
    </row>
    <row r="10" customFormat="false" ht="15" hidden="false" customHeight="false" outlineLevel="0" collapsed="false">
      <c r="A10" s="6"/>
      <c r="B10" s="18" t="s">
        <v>157</v>
      </c>
      <c r="C10" s="25" t="n">
        <v>0</v>
      </c>
      <c r="D10" s="25" t="n">
        <f aca="false">RR_Fuel_Rev_Y1</f>
        <v>513</v>
      </c>
      <c r="E10" s="25" t="n">
        <f aca="false">RR_Fuel_Rev_Y2</f>
        <v>513</v>
      </c>
      <c r="F10" s="25" t="n">
        <f aca="false">RR_Fuel_Rev_Y3</f>
        <v>513</v>
      </c>
      <c r="G10" s="25" t="n">
        <f aca="false">RR_Fuel_Rev_Y4</f>
        <v>513</v>
      </c>
      <c r="H10" s="25" t="n">
        <f aca="false">RR_Fuel_Rev_Y5</f>
        <v>513</v>
      </c>
      <c r="I10" s="6"/>
    </row>
    <row r="11" customFormat="false" ht="15" hidden="false" customHeight="false" outlineLevel="0" collapsed="false">
      <c r="A11" s="6"/>
      <c r="B11" s="9" t="s">
        <v>179</v>
      </c>
      <c r="C11" s="10"/>
      <c r="D11" s="10"/>
      <c r="E11" s="10"/>
      <c r="F11" s="10"/>
      <c r="G11" s="10"/>
      <c r="H11" s="10"/>
      <c r="I11" s="10"/>
    </row>
    <row r="12" customFormat="false" ht="15" hidden="false" customHeight="false" outlineLevel="0" collapsed="false">
      <c r="A12" s="6"/>
      <c r="B12" s="18" t="s">
        <v>180</v>
      </c>
      <c r="C12" s="25" t="n">
        <v>0</v>
      </c>
      <c r="D12" s="25" t="n">
        <f aca="false">Annual_MWh*Heat_Rate*Fuel_Price/1000000000</f>
        <v>513</v>
      </c>
      <c r="E12" s="25" t="n">
        <f aca="false">Annual_MWh*Heat_Rate*Fuel_Price/1000000000</f>
        <v>513</v>
      </c>
      <c r="F12" s="25" t="n">
        <f aca="false">Annual_MWh*Heat_Rate*Fuel_Price/1000000000</f>
        <v>513</v>
      </c>
      <c r="G12" s="25" t="n">
        <f aca="false">Annual_MWh*Heat_Rate*Fuel_Price/1000000000</f>
        <v>513</v>
      </c>
      <c r="H12" s="25" t="n">
        <f aca="false">Annual_MWh*Heat_Rate*Fuel_Price/1000000000</f>
        <v>513</v>
      </c>
      <c r="I12" s="6"/>
    </row>
    <row r="13" customFormat="false" ht="15" hidden="false" customHeight="false" outlineLevel="0" collapsed="false">
      <c r="A13" s="6"/>
      <c r="B13" s="18" t="s">
        <v>151</v>
      </c>
      <c r="C13" s="25" t="n">
        <v>0</v>
      </c>
      <c r="D13" s="25" t="n">
        <f aca="false">Opex_Total_OM_Y1</f>
        <v>850</v>
      </c>
      <c r="E13" s="25" t="n">
        <f aca="false">Opex_Total_OM_Y2</f>
        <v>871.25</v>
      </c>
      <c r="F13" s="25" t="n">
        <f aca="false">Opex_Total_OM_Y3</f>
        <v>893.03125</v>
      </c>
      <c r="G13" s="25" t="n">
        <f aca="false">Opex_Total_OM_Y4</f>
        <v>915.35703125</v>
      </c>
      <c r="H13" s="25" t="n">
        <f aca="false">Opex_Total_OM_Y5</f>
        <v>938.24095703125</v>
      </c>
      <c r="I13" s="6"/>
    </row>
    <row r="14" customFormat="false" ht="15" hidden="false" customHeight="false" outlineLevel="0" collapsed="false">
      <c r="A14" s="6"/>
      <c r="B14" s="18" t="s">
        <v>181</v>
      </c>
      <c r="C14" s="25" t="n">
        <v>0</v>
      </c>
      <c r="D14" s="25" t="n">
        <f aca="false">CD_Total_Depr_Y1</f>
        <v>318.5</v>
      </c>
      <c r="E14" s="25" t="n">
        <f aca="false">CD_Total_Depr_Y2</f>
        <v>339.75875</v>
      </c>
      <c r="F14" s="25" t="n">
        <f aca="false">CD_Total_Depr_Y3</f>
        <v>361.602115625</v>
      </c>
      <c r="G14" s="25" t="n">
        <f aca="false">CD_Total_Depr_Y4</f>
        <v>384.046173804688</v>
      </c>
      <c r="H14" s="25" t="n">
        <f aca="false">CD_Total_Depr_Y5</f>
        <v>407.107443584316</v>
      </c>
      <c r="I14" s="6"/>
    </row>
    <row r="15" customFormat="false" ht="15" hidden="false" customHeight="false" outlineLevel="0" collapsed="false">
      <c r="A15" s="6"/>
      <c r="B15" s="26" t="s">
        <v>182</v>
      </c>
      <c r="C15" s="29" t="n">
        <v>0</v>
      </c>
      <c r="D15" s="29" t="n">
        <f aca="false">D12+D13+D14</f>
        <v>1681.5</v>
      </c>
      <c r="E15" s="29" t="n">
        <f aca="false">E12+E13+E14</f>
        <v>1724.00875</v>
      </c>
      <c r="F15" s="29" t="n">
        <f aca="false">F12+F13+F14</f>
        <v>1767.633365625</v>
      </c>
      <c r="G15" s="29" t="n">
        <f aca="false">G12+G13+G14</f>
        <v>1812.40320505469</v>
      </c>
      <c r="H15" s="29" t="n">
        <f aca="false">H12+H13+H14</f>
        <v>1858.34840061557</v>
      </c>
      <c r="I15" s="6"/>
    </row>
    <row r="16" customFormat="false" ht="15" hidden="false" customHeight="false" outlineLevel="0" collapsed="false">
      <c r="A16" s="6"/>
      <c r="B16" s="6"/>
      <c r="C16" s="6"/>
      <c r="D16" s="6"/>
      <c r="E16" s="6"/>
      <c r="F16" s="6"/>
      <c r="G16" s="6"/>
      <c r="H16" s="6"/>
      <c r="I16" s="6"/>
    </row>
    <row r="17" customFormat="false" ht="15" hidden="false" customHeight="false" outlineLevel="0" collapsed="false">
      <c r="A17" s="6"/>
      <c r="B17" s="26" t="s">
        <v>183</v>
      </c>
      <c r="C17" s="27" t="n">
        <v>0</v>
      </c>
      <c r="D17" s="27" t="n">
        <f aca="false">D8-D15</f>
        <v>1039.45941455696</v>
      </c>
      <c r="E17" s="27" t="n">
        <f aca="false">E8-E15</f>
        <v>1079.13228579905</v>
      </c>
      <c r="F17" s="27" t="n">
        <f aca="false">F8-F15</f>
        <v>1122.66277492435</v>
      </c>
      <c r="G17" s="27" t="n">
        <f aca="false">G8-G15</f>
        <v>1166.32627022211</v>
      </c>
      <c r="H17" s="27" t="n">
        <f aca="false">H8-H15</f>
        <v>1210.12642936208</v>
      </c>
      <c r="I17" s="6"/>
    </row>
    <row r="18" customFormat="false" ht="15" hidden="false" customHeight="false" outlineLevel="0" collapsed="false">
      <c r="A18" s="6"/>
      <c r="B18" s="18" t="s">
        <v>184</v>
      </c>
      <c r="C18" s="25" t="n">
        <v>0</v>
      </c>
      <c r="D18" s="25" t="n">
        <f aca="false">DS_Total_Interest_Y1</f>
        <v>301.25</v>
      </c>
      <c r="E18" s="25" t="n">
        <f aca="false">DS_Total_Interest_Y2</f>
        <v>307.499134640469</v>
      </c>
      <c r="F18" s="25" t="n">
        <f aca="false">DS_Total_Interest_Y3</f>
        <v>310.131486076207</v>
      </c>
      <c r="G18" s="25" t="n">
        <f aca="false">DS_Total_Interest_Y4</f>
        <v>312.31978920085</v>
      </c>
      <c r="H18" s="25" t="n">
        <f aca="false">DS_Total_Interest_Y5</f>
        <v>314.041578139323</v>
      </c>
      <c r="I18" s="6"/>
    </row>
    <row r="19" customFormat="false" ht="15" hidden="false" customHeight="false" outlineLevel="0" collapsed="false">
      <c r="A19" s="6"/>
      <c r="B19" s="18" t="s">
        <v>185</v>
      </c>
      <c r="C19" s="25" t="n">
        <v>0</v>
      </c>
      <c r="D19" s="25" t="n">
        <f aca="false">D17-D18</f>
        <v>738.209414556962</v>
      </c>
      <c r="E19" s="25" t="n">
        <f aca="false">E17-E18</f>
        <v>771.633151158582</v>
      </c>
      <c r="F19" s="25" t="n">
        <f aca="false">F17-F18</f>
        <v>812.53128884814</v>
      </c>
      <c r="G19" s="25" t="n">
        <f aca="false">G17-G18</f>
        <v>854.006481021259</v>
      </c>
      <c r="H19" s="25" t="n">
        <f aca="false">H17-H18</f>
        <v>896.084851222754</v>
      </c>
      <c r="I19" s="6"/>
    </row>
    <row r="20" customFormat="false" ht="15" hidden="false" customHeight="false" outlineLevel="0" collapsed="false">
      <c r="A20" s="6"/>
      <c r="B20" s="18" t="s">
        <v>186</v>
      </c>
      <c r="C20" s="25" t="n">
        <v>0</v>
      </c>
      <c r="D20" s="25" t="n">
        <f aca="false">MAX(0,D19)*Tax_Rate</f>
        <v>155.023977056962</v>
      </c>
      <c r="E20" s="25" t="n">
        <f aca="false">MAX(0,E19)*Tax_Rate</f>
        <v>162.042961743302</v>
      </c>
      <c r="F20" s="25" t="n">
        <f aca="false">MAX(0,F19)*Tax_Rate</f>
        <v>170.631570658109</v>
      </c>
      <c r="G20" s="25" t="n">
        <f aca="false">MAX(0,G19)*Tax_Rate</f>
        <v>179.341361014464</v>
      </c>
      <c r="H20" s="25" t="n">
        <f aca="false">MAX(0,H19)*Tax_Rate</f>
        <v>188.177818756778</v>
      </c>
      <c r="I20" s="6"/>
    </row>
    <row r="21" customFormat="false" ht="15" hidden="false" customHeight="false" outlineLevel="0" collapsed="false">
      <c r="A21" s="6"/>
      <c r="B21" s="26" t="s">
        <v>187</v>
      </c>
      <c r="C21" s="27" t="n">
        <v>0</v>
      </c>
      <c r="D21" s="27" t="n">
        <f aca="false">D19-D20</f>
        <v>583.1854375</v>
      </c>
      <c r="E21" s="27" t="n">
        <f aca="false">E19-E20</f>
        <v>609.590189415279</v>
      </c>
      <c r="F21" s="27" t="n">
        <f aca="false">F19-F20</f>
        <v>641.899718190031</v>
      </c>
      <c r="G21" s="27" t="n">
        <f aca="false">G19-G20</f>
        <v>674.665120006795</v>
      </c>
      <c r="H21" s="27" t="n">
        <f aca="false">H19-H20</f>
        <v>707.907032465976</v>
      </c>
      <c r="I21" s="6"/>
    </row>
    <row r="22" customFormat="false" ht="15" hidden="false" customHeight="false" outlineLevel="0" collapsed="false">
      <c r="A22" s="6"/>
      <c r="B22" s="18" t="s">
        <v>188</v>
      </c>
      <c r="C22" s="25" t="n">
        <v>0</v>
      </c>
      <c r="D22" s="25" t="n">
        <f aca="false">MAX(0,D21)*Dividend_Payout</f>
        <v>379.070534375</v>
      </c>
      <c r="E22" s="25" t="n">
        <f aca="false">MAX(0,E21)*Dividend_Payout</f>
        <v>396.233623119932</v>
      </c>
      <c r="F22" s="25" t="n">
        <f aca="false">MAX(0,F21)*Dividend_Payout</f>
        <v>417.23481682352</v>
      </c>
      <c r="G22" s="25" t="n">
        <f aca="false">MAX(0,G21)*Dividend_Payout</f>
        <v>438.532328004416</v>
      </c>
      <c r="H22" s="25" t="n">
        <f aca="false">MAX(0,H21)*Dividend_Payout</f>
        <v>460.139571102884</v>
      </c>
      <c r="I22" s="6"/>
    </row>
    <row r="23" customFormat="false" ht="15" hidden="false" customHeight="false" outlineLevel="0" collapsed="false">
      <c r="A23" s="6"/>
      <c r="B23" s="18" t="s">
        <v>189</v>
      </c>
      <c r="C23" s="30" t="n">
        <v>0</v>
      </c>
      <c r="D23" s="30" t="n">
        <f aca="false">D17+D14</f>
        <v>1357.95941455696</v>
      </c>
      <c r="E23" s="30" t="n">
        <f aca="false">E17+E14</f>
        <v>1418.89103579905</v>
      </c>
      <c r="F23" s="30" t="n">
        <f aca="false">F17+F14</f>
        <v>1484.26489054935</v>
      </c>
      <c r="G23" s="30" t="n">
        <f aca="false">G17+G14</f>
        <v>1550.3724440268</v>
      </c>
      <c r="H23" s="30" t="n">
        <f aca="false">H17+H14</f>
        <v>1617.23387294639</v>
      </c>
      <c r="I23" s="6"/>
    </row>
    <row r="24" customFormat="false" ht="15" hidden="false" customHeight="false" outlineLevel="0" collapsed="false">
      <c r="A24" s="6"/>
      <c r="B24" s="6"/>
      <c r="C24" s="6"/>
      <c r="D24" s="6"/>
      <c r="E24" s="6"/>
      <c r="F24" s="6"/>
      <c r="G24" s="6"/>
      <c r="H24" s="6"/>
      <c r="I24" s="6"/>
    </row>
    <row r="25" customFormat="false" ht="15" hidden="false" customHeight="false" outlineLevel="0" collapsed="false">
      <c r="A25" s="6"/>
      <c r="B25" s="9" t="s">
        <v>190</v>
      </c>
      <c r="C25" s="10"/>
      <c r="D25" s="10"/>
      <c r="E25" s="10"/>
      <c r="F25" s="10"/>
      <c r="G25" s="10"/>
      <c r="H25" s="10"/>
      <c r="I25" s="10"/>
    </row>
    <row r="26" customFormat="false" ht="15" hidden="false" customHeight="false" outlineLevel="0" collapsed="false">
      <c r="A26" s="6"/>
      <c r="B26" s="18" t="s">
        <v>191</v>
      </c>
      <c r="C26" s="25" t="n">
        <v>0</v>
      </c>
      <c r="D26" s="25" t="n">
        <f aca="false">IS_Total_Rev_Y1*DSO/365</f>
        <v>260.913916464366</v>
      </c>
      <c r="E26" s="25" t="n">
        <f aca="false">IS_Total_Rev_Y2*DSO/365</f>
        <v>268.794345898539</v>
      </c>
      <c r="F26" s="25" t="n">
        <f aca="false">IS_Total_Rev_Y3*DSO/365</f>
        <v>277.151684710211</v>
      </c>
      <c r="G26" s="25" t="n">
        <f aca="false">IS_Total_Rev_Y4*DSO/365</f>
        <v>285.631593519693</v>
      </c>
      <c r="H26" s="25" t="n">
        <f aca="false">IS_Total_Rev_Y5*DSO/365</f>
        <v>294.23731246361</v>
      </c>
      <c r="I26" s="6"/>
    </row>
    <row r="27" customFormat="false" ht="15" hidden="false" customHeight="false" outlineLevel="0" collapsed="false">
      <c r="A27" s="6"/>
      <c r="B27" s="18" t="s">
        <v>192</v>
      </c>
      <c r="C27" s="25" t="n">
        <v>0</v>
      </c>
      <c r="D27" s="25" t="n">
        <f aca="false">(IS_Fuel_Cost_Y1+IS_OM_Y1)*DPO/365</f>
        <v>149.369863013699</v>
      </c>
      <c r="E27" s="25" t="n">
        <f aca="false">(IS_Fuel_Cost_Y2+IS_OM_Y2)*DPO/365</f>
        <v>151.698630136986</v>
      </c>
      <c r="F27" s="25" t="n">
        <f aca="false">(IS_Fuel_Cost_Y3+IS_OM_Y3)*DPO/365</f>
        <v>154.085616438356</v>
      </c>
      <c r="G27" s="25" t="n">
        <f aca="false">(IS_Fuel_Cost_Y4+IS_OM_Y4)*DPO/365</f>
        <v>156.53227739726</v>
      </c>
      <c r="H27" s="25" t="n">
        <f aca="false">(IS_Fuel_Cost_Y5+IS_OM_Y5)*DPO/365</f>
        <v>159.040104880137</v>
      </c>
      <c r="I27" s="6"/>
    </row>
    <row r="28" customFormat="false" ht="15" hidden="false" customHeight="false" outlineLevel="0" collapsed="false">
      <c r="A28" s="6"/>
      <c r="B28" s="6"/>
      <c r="C28" s="6"/>
      <c r="D28" s="6"/>
      <c r="E28" s="6"/>
      <c r="F28" s="6"/>
      <c r="G28" s="6"/>
      <c r="H28" s="6"/>
      <c r="I28" s="6"/>
    </row>
    <row r="29" customFormat="false" ht="15" hidden="false" customHeight="false" outlineLevel="0" collapsed="false">
      <c r="A29" s="6"/>
      <c r="B29" s="9" t="s">
        <v>193</v>
      </c>
      <c r="C29" s="10"/>
      <c r="D29" s="10"/>
      <c r="E29" s="10"/>
      <c r="F29" s="10"/>
      <c r="G29" s="10"/>
      <c r="H29" s="10"/>
      <c r="I29" s="10"/>
    </row>
    <row r="30" customFormat="false" ht="15" hidden="false" customHeight="false" outlineLevel="0" collapsed="false">
      <c r="A30" s="6"/>
      <c r="B30" s="18" t="s">
        <v>48</v>
      </c>
      <c r="C30" s="25" t="n">
        <f aca="false">Opening_Equity</f>
        <v>6000</v>
      </c>
      <c r="D30" s="25" t="n">
        <f aca="false">C33</f>
        <v>6000</v>
      </c>
      <c r="E30" s="25" t="n">
        <f aca="false">D33</f>
        <v>6454.114903125</v>
      </c>
      <c r="F30" s="25" t="n">
        <f aca="false">E33</f>
        <v>6917.47146942035</v>
      </c>
      <c r="G30" s="25" t="n">
        <f aca="false">F33</f>
        <v>7392.13637078686</v>
      </c>
      <c r="H30" s="25" t="n">
        <f aca="false">G33</f>
        <v>7878.26916278924</v>
      </c>
      <c r="I30" s="6"/>
    </row>
    <row r="31" customFormat="false" ht="15" hidden="false" customHeight="false" outlineLevel="0" collapsed="false">
      <c r="A31" s="6"/>
      <c r="B31" s="18" t="s">
        <v>194</v>
      </c>
      <c r="C31" s="25" t="n">
        <v>0</v>
      </c>
      <c r="D31" s="25" t="n">
        <f aca="false">IS_NI_Y1</f>
        <v>583.1854375</v>
      </c>
      <c r="E31" s="25" t="n">
        <f aca="false">IS_NI_Y2</f>
        <v>609.590189415279</v>
      </c>
      <c r="F31" s="25" t="n">
        <f aca="false">IS_NI_Y3</f>
        <v>641.899718190031</v>
      </c>
      <c r="G31" s="25" t="n">
        <f aca="false">IS_NI_Y4</f>
        <v>674.665120006795</v>
      </c>
      <c r="H31" s="25" t="n">
        <f aca="false">IS_NI_Y5</f>
        <v>707.907032465976</v>
      </c>
      <c r="I31" s="6"/>
    </row>
    <row r="32" customFormat="false" ht="15" hidden="false" customHeight="false" outlineLevel="0" collapsed="false">
      <c r="A32" s="6"/>
      <c r="B32" s="18" t="s">
        <v>195</v>
      </c>
      <c r="C32" s="25" t="n">
        <v>0</v>
      </c>
      <c r="D32" s="25" t="n">
        <f aca="false">IS_Divs_Y1</f>
        <v>379.070534375</v>
      </c>
      <c r="E32" s="25" t="n">
        <f aca="false">IS_Divs_Y2</f>
        <v>396.233623119932</v>
      </c>
      <c r="F32" s="25" t="n">
        <f aca="false">IS_Divs_Y3</f>
        <v>417.23481682352</v>
      </c>
      <c r="G32" s="25" t="n">
        <f aca="false">IS_Divs_Y4</f>
        <v>438.532328004416</v>
      </c>
      <c r="H32" s="25" t="n">
        <f aca="false">IS_Divs_Y5</f>
        <v>460.139571102884</v>
      </c>
      <c r="I32" s="6"/>
    </row>
    <row r="33" customFormat="false" ht="15" hidden="false" customHeight="false" outlineLevel="0" collapsed="false">
      <c r="A33" s="6"/>
      <c r="B33" s="26" t="s">
        <v>196</v>
      </c>
      <c r="C33" s="27" t="n">
        <f aca="false">Opening_Equity</f>
        <v>6000</v>
      </c>
      <c r="D33" s="27" t="n">
        <f aca="false">D30+D31-D32+Growth_Capex*Eq_Thickness</f>
        <v>6454.114903125</v>
      </c>
      <c r="E33" s="27" t="n">
        <f aca="false">E30+E31-E32+Growth_Capex*Eq_Thickness</f>
        <v>6917.47146942035</v>
      </c>
      <c r="F33" s="27" t="n">
        <f aca="false">F30+F31-F32+Growth_Capex*Eq_Thickness</f>
        <v>7392.13637078686</v>
      </c>
      <c r="G33" s="27" t="n">
        <f aca="false">G30+G31-G32+Growth_Capex*Eq_Thickness</f>
        <v>7878.26916278924</v>
      </c>
      <c r="H33" s="27" t="n">
        <f aca="false">H30+H31-H32+Growth_Capex*Eq_Thickness</f>
        <v>8376.03662415233</v>
      </c>
      <c r="I33"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8"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197</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198</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23" t="s">
        <v>111</v>
      </c>
      <c r="D4" s="23" t="s">
        <v>112</v>
      </c>
      <c r="E4" s="23" t="s">
        <v>113</v>
      </c>
      <c r="F4" s="23" t="s">
        <v>114</v>
      </c>
      <c r="G4" s="23" t="s">
        <v>115</v>
      </c>
      <c r="H4" s="23" t="s">
        <v>116</v>
      </c>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6"/>
      <c r="C6" s="6"/>
      <c r="D6" s="6"/>
      <c r="E6" s="6"/>
      <c r="F6" s="6"/>
      <c r="G6" s="6"/>
      <c r="H6" s="6"/>
      <c r="I6" s="6"/>
    </row>
    <row r="7" customFormat="false" ht="15" hidden="false" customHeight="false" outlineLevel="0" collapsed="false">
      <c r="A7" s="6"/>
      <c r="B7" s="9" t="s">
        <v>199</v>
      </c>
      <c r="C7" s="10"/>
      <c r="D7" s="10"/>
      <c r="E7" s="10"/>
      <c r="F7" s="10"/>
      <c r="G7" s="10"/>
      <c r="H7" s="10"/>
      <c r="I7" s="10"/>
    </row>
    <row r="8" customFormat="false" ht="15" hidden="false" customHeight="false" outlineLevel="0" collapsed="false">
      <c r="A8" s="6"/>
      <c r="B8" s="18" t="s">
        <v>200</v>
      </c>
      <c r="C8" s="6"/>
      <c r="D8" s="25" t="n">
        <f aca="false">IS_NI_Y1</f>
        <v>583.1854375</v>
      </c>
      <c r="E8" s="25" t="n">
        <f aca="false">IS_NI_Y2</f>
        <v>609.590189415279</v>
      </c>
      <c r="F8" s="25" t="n">
        <f aca="false">IS_NI_Y3</f>
        <v>641.899718190031</v>
      </c>
      <c r="G8" s="25" t="n">
        <f aca="false">IS_NI_Y4</f>
        <v>674.665120006795</v>
      </c>
      <c r="H8" s="25" t="n">
        <f aca="false">IS_NI_Y5</f>
        <v>707.907032465976</v>
      </c>
      <c r="I8" s="6"/>
    </row>
    <row r="9" customFormat="false" ht="15" hidden="false" customHeight="false" outlineLevel="0" collapsed="false">
      <c r="A9" s="6"/>
      <c r="B9" s="18" t="s">
        <v>201</v>
      </c>
      <c r="C9" s="6"/>
      <c r="D9" s="25" t="n">
        <f aca="false">CD_Total_Depr_Y1</f>
        <v>318.5</v>
      </c>
      <c r="E9" s="25" t="n">
        <f aca="false">CD_Total_Depr_Y2</f>
        <v>339.75875</v>
      </c>
      <c r="F9" s="25" t="n">
        <f aca="false">CD_Total_Depr_Y3</f>
        <v>361.602115625</v>
      </c>
      <c r="G9" s="25" t="n">
        <f aca="false">CD_Total_Depr_Y4</f>
        <v>384.046173804688</v>
      </c>
      <c r="H9" s="25" t="n">
        <f aca="false">CD_Total_Depr_Y5</f>
        <v>407.107443584316</v>
      </c>
      <c r="I9" s="6"/>
    </row>
    <row r="10" customFormat="false" ht="15" hidden="false" customHeight="false" outlineLevel="0" collapsed="false">
      <c r="A10" s="6"/>
      <c r="B10" s="18" t="s">
        <v>202</v>
      </c>
      <c r="C10" s="6"/>
      <c r="D10" s="25" t="n">
        <f aca="false">-IS_AR_Y1</f>
        <v>-260.913916464366</v>
      </c>
      <c r="E10" s="25" t="n">
        <f aca="false">-(IS_AR_Y2-IS_AR_Y1)</f>
        <v>-7.88042943417287</v>
      </c>
      <c r="F10" s="25" t="n">
        <f aca="false">-(IS_AR_Y3-IS_AR_Y2)</f>
        <v>-8.35733881167221</v>
      </c>
      <c r="G10" s="25" t="n">
        <f aca="false">-(IS_AR_Y4-IS_AR_Y3)</f>
        <v>-8.4799088094814</v>
      </c>
      <c r="H10" s="25" t="n">
        <f aca="false">-(IS_AR_Y5-IS_AR_Y4)</f>
        <v>-8.60571894391694</v>
      </c>
      <c r="I10" s="6"/>
    </row>
    <row r="11" customFormat="false" ht="15" hidden="false" customHeight="false" outlineLevel="0" collapsed="false">
      <c r="A11" s="6"/>
      <c r="B11" s="18" t="s">
        <v>203</v>
      </c>
      <c r="C11" s="6"/>
      <c r="D11" s="25" t="n">
        <f aca="false">IS_AP_Y1</f>
        <v>149.369863013699</v>
      </c>
      <c r="E11" s="25" t="n">
        <f aca="false">IS_AP_Y2-IS_AP_Y1</f>
        <v>2.32876712328769</v>
      </c>
      <c r="F11" s="25" t="n">
        <f aca="false">IS_AP_Y3-IS_AP_Y2</f>
        <v>2.38698630136986</v>
      </c>
      <c r="G11" s="25" t="n">
        <f aca="false">IS_AP_Y4-IS_AP_Y3</f>
        <v>2.44666095890406</v>
      </c>
      <c r="H11" s="25" t="n">
        <f aca="false">IS_AP_Y5-IS_AP_Y4</f>
        <v>2.50782748287674</v>
      </c>
      <c r="I11" s="6"/>
    </row>
    <row r="12" customFormat="false" ht="15" hidden="false" customHeight="false" outlineLevel="0" collapsed="false">
      <c r="A12" s="6"/>
      <c r="B12" s="26" t="s">
        <v>204</v>
      </c>
      <c r="C12" s="6"/>
      <c r="D12" s="29" t="n">
        <f aca="false">SUM(D8:D11)</f>
        <v>790.141384049333</v>
      </c>
      <c r="E12" s="29" t="n">
        <f aca="false">SUM(E8:E11)</f>
        <v>943.797277104394</v>
      </c>
      <c r="F12" s="29" t="n">
        <f aca="false">SUM(F8:F11)</f>
        <v>997.531481304728</v>
      </c>
      <c r="G12" s="29" t="n">
        <f aca="false">SUM(G8:G11)</f>
        <v>1052.6780459609</v>
      </c>
      <c r="H12" s="29" t="n">
        <f aca="false">SUM(H8:H11)</f>
        <v>1108.91658458925</v>
      </c>
      <c r="I12" s="6"/>
    </row>
    <row r="13" customFormat="false" ht="15" hidden="false" customHeight="false" outlineLevel="0" collapsed="false">
      <c r="A13" s="6"/>
      <c r="B13" s="9" t="s">
        <v>205</v>
      </c>
      <c r="C13" s="10"/>
      <c r="D13" s="10"/>
      <c r="E13" s="10"/>
      <c r="F13" s="10"/>
      <c r="G13" s="10"/>
      <c r="H13" s="10"/>
      <c r="I13" s="10"/>
    </row>
    <row r="14" customFormat="false" ht="15" hidden="false" customHeight="false" outlineLevel="0" collapsed="false">
      <c r="A14" s="6"/>
      <c r="B14" s="18" t="s">
        <v>206</v>
      </c>
      <c r="C14" s="6"/>
      <c r="D14" s="25" t="n">
        <f aca="false">-Capex_Depr!D10</f>
        <v>-740</v>
      </c>
      <c r="E14" s="25" t="n">
        <f aca="false">-Capex_Depr!E10</f>
        <v>-850.35</v>
      </c>
      <c r="F14" s="25" t="n">
        <f aca="false">-Capex_Depr!F10</f>
        <v>-873.734625</v>
      </c>
      <c r="G14" s="25" t="n">
        <f aca="false">-Capex_Depr!G10</f>
        <v>-897.7623271875</v>
      </c>
      <c r="H14" s="25" t="n">
        <f aca="false">-Capex_Depr!H10</f>
        <v>-922.450791185156</v>
      </c>
      <c r="I14" s="6"/>
    </row>
    <row r="15" customFormat="false" ht="15" hidden="false" customHeight="false" outlineLevel="0" collapsed="false">
      <c r="A15" s="6"/>
      <c r="B15" s="26" t="s">
        <v>207</v>
      </c>
      <c r="C15" s="6"/>
      <c r="D15" s="29" t="n">
        <f aca="false">D14</f>
        <v>-740</v>
      </c>
      <c r="E15" s="29" t="n">
        <f aca="false">E14</f>
        <v>-850.35</v>
      </c>
      <c r="F15" s="29" t="n">
        <f aca="false">F14</f>
        <v>-873.734625</v>
      </c>
      <c r="G15" s="29" t="n">
        <f aca="false">G14</f>
        <v>-897.7623271875</v>
      </c>
      <c r="H15" s="29" t="n">
        <f aca="false">H14</f>
        <v>-922.450791185156</v>
      </c>
      <c r="I15" s="6"/>
    </row>
    <row r="16" customFormat="false" ht="15" hidden="false" customHeight="false" outlineLevel="0" collapsed="false">
      <c r="A16" s="6"/>
      <c r="B16" s="9" t="s">
        <v>208</v>
      </c>
      <c r="C16" s="10"/>
      <c r="D16" s="10"/>
      <c r="E16" s="10"/>
      <c r="F16" s="10"/>
      <c r="G16" s="10"/>
      <c r="H16" s="10"/>
      <c r="I16" s="10"/>
    </row>
    <row r="17" customFormat="false" ht="15" hidden="false" customHeight="false" outlineLevel="0" collapsed="false">
      <c r="A17" s="6"/>
      <c r="B17" s="18" t="s">
        <v>209</v>
      </c>
      <c r="C17" s="6"/>
      <c r="D17" s="25" t="n">
        <f aca="false">-DS_LT_Repay_Y1</f>
        <v>-200</v>
      </c>
      <c r="E17" s="25" t="n">
        <f aca="false">-DS_LT_Repay_Y2</f>
        <v>-200</v>
      </c>
      <c r="F17" s="25" t="n">
        <f aca="false">-DS_LT_Repay_Y3</f>
        <v>-200</v>
      </c>
      <c r="G17" s="25" t="n">
        <f aca="false">-DS_LT_Repay_Y4</f>
        <v>-200</v>
      </c>
      <c r="H17" s="25" t="n">
        <f aca="false">-DS_LT_Repay_Y5</f>
        <v>-200</v>
      </c>
      <c r="I17" s="6"/>
    </row>
    <row r="18" customFormat="false" ht="15" hidden="false" customHeight="false" outlineLevel="0" collapsed="false">
      <c r="A18" s="6"/>
      <c r="B18" s="18" t="s">
        <v>210</v>
      </c>
      <c r="C18" s="6"/>
      <c r="D18" s="25" t="n">
        <f aca="false">-IS_Divs_Y1</f>
        <v>-379.070534375</v>
      </c>
      <c r="E18" s="25" t="n">
        <f aca="false">-IS_Divs_Y2</f>
        <v>-396.233623119932</v>
      </c>
      <c r="F18" s="25" t="n">
        <f aca="false">-IS_Divs_Y3</f>
        <v>-417.23481682352</v>
      </c>
      <c r="G18" s="25" t="n">
        <f aca="false">-IS_Divs_Y4</f>
        <v>-438.532328004416</v>
      </c>
      <c r="H18" s="25" t="n">
        <f aca="false">-IS_Divs_Y5</f>
        <v>-460.139571102884</v>
      </c>
      <c r="I18" s="6"/>
    </row>
    <row r="19" customFormat="false" ht="15" hidden="false" customHeight="false" outlineLevel="0" collapsed="false">
      <c r="A19" s="6"/>
      <c r="B19" s="18" t="s">
        <v>211</v>
      </c>
      <c r="C19" s="25" t="n">
        <f aca="false">0</f>
        <v>0</v>
      </c>
      <c r="D19" s="25" t="n">
        <f aca="false">DS_New_Bonds_Y1+Growth_Capex*Eq_Thickness</f>
        <v>500</v>
      </c>
      <c r="E19" s="25" t="n">
        <f aca="false">DS_New_Bonds_Y2+Growth_Capex*Eq_Thickness</f>
        <v>500</v>
      </c>
      <c r="F19" s="25" t="n">
        <f aca="false">DS_New_Bonds_Y3+Growth_Capex*Eq_Thickness</f>
        <v>500</v>
      </c>
      <c r="G19" s="25" t="n">
        <f aca="false">DS_New_Bonds_Y4+Growth_Capex*Eq_Thickness</f>
        <v>500</v>
      </c>
      <c r="H19" s="25" t="n">
        <f aca="false">DS_New_Bonds_Y5+Growth_Capex*Eq_Thickness</f>
        <v>500</v>
      </c>
      <c r="I19" s="6"/>
    </row>
    <row r="20" customFormat="false" ht="15" hidden="false" customHeight="false" outlineLevel="0" collapsed="false">
      <c r="A20" s="6"/>
      <c r="B20" s="18" t="s">
        <v>212</v>
      </c>
      <c r="C20" s="25" t="n">
        <f aca="false">Opening_Cash</f>
        <v>0</v>
      </c>
      <c r="D20" s="25" t="n">
        <f aca="false">C28+D12+D15+D17+D18+D19</f>
        <v>-28.9291503256677</v>
      </c>
      <c r="E20" s="25" t="n">
        <f aca="false">D28+E12+E15+E17+E18+E19</f>
        <v>47.2136539844627</v>
      </c>
      <c r="F20" s="25" t="n">
        <f aca="false">E28+F12+F15+F17+F18+F19</f>
        <v>56.5620394812086</v>
      </c>
      <c r="G20" s="25" t="n">
        <f aca="false">F28+G12+G15+G17+G18+G19</f>
        <v>66.3833907689885</v>
      </c>
      <c r="H20" s="25" t="n">
        <f aca="false">G28+H12+H15+H17+H18+H19</f>
        <v>76.3262223012114</v>
      </c>
      <c r="I20" s="6"/>
    </row>
    <row r="21" customFormat="false" ht="15" hidden="false" customHeight="false" outlineLevel="0" collapsed="false">
      <c r="A21" s="6"/>
      <c r="B21" s="6"/>
      <c r="C21" s="6"/>
      <c r="D21" s="6"/>
      <c r="E21" s="6"/>
      <c r="F21" s="6"/>
      <c r="G21" s="6"/>
      <c r="H21" s="6"/>
      <c r="I21" s="6"/>
    </row>
    <row r="22" customFormat="false" ht="15" hidden="false" customHeight="false" outlineLevel="0" collapsed="false">
      <c r="A22" s="6"/>
      <c r="B22" s="18" t="s">
        <v>213</v>
      </c>
      <c r="C22" s="6"/>
      <c r="D22" s="25" t="n">
        <f aca="false">DS_Rev_Draw_Y1</f>
        <v>78.9291503256677</v>
      </c>
      <c r="E22" s="25" t="n">
        <f aca="false">DS_Rev_Draw_Y2</f>
        <v>2.78634601553733</v>
      </c>
      <c r="F22" s="25" t="n">
        <f aca="false">DS_Rev_Draw_Y3</f>
        <v>0</v>
      </c>
      <c r="G22" s="25" t="n">
        <f aca="false">DS_Rev_Draw_Y4</f>
        <v>0</v>
      </c>
      <c r="H22" s="25" t="n">
        <f aca="false">DS_Rev_Draw_Y5</f>
        <v>0</v>
      </c>
      <c r="I22" s="6"/>
    </row>
    <row r="23" customFormat="false" ht="15" hidden="false" customHeight="false" outlineLevel="0" collapsed="false">
      <c r="A23" s="6"/>
      <c r="B23" s="18" t="s">
        <v>214</v>
      </c>
      <c r="C23" s="6"/>
      <c r="D23" s="25" t="n">
        <f aca="false">-DS_Rev_Repay_Y1</f>
        <v>-0</v>
      </c>
      <c r="E23" s="25" t="n">
        <f aca="false">-DS_Rev_Repay_Y2</f>
        <v>-0</v>
      </c>
      <c r="F23" s="25" t="n">
        <f aca="false">-DS_Rev_Repay_Y3</f>
        <v>-6.56203948120856</v>
      </c>
      <c r="G23" s="25" t="n">
        <f aca="false">-DS_Rev_Repay_Y4</f>
        <v>-16.3833907689885</v>
      </c>
      <c r="H23" s="25" t="n">
        <f aca="false">-DS_Rev_Repay_Y5</f>
        <v>-26.3262223012114</v>
      </c>
      <c r="I23" s="6"/>
    </row>
    <row r="24" customFormat="false" ht="15" hidden="false" customHeight="false" outlineLevel="0" collapsed="false">
      <c r="A24" s="6"/>
      <c r="B24" s="26" t="s">
        <v>215</v>
      </c>
      <c r="C24" s="6"/>
      <c r="D24" s="29" t="n">
        <f aca="false">D17+D18+D19+D22+D23</f>
        <v>-0.141384049332373</v>
      </c>
      <c r="E24" s="29" t="n">
        <f aca="false">E17+E18+E19+E22+E23</f>
        <v>-93.4472771043943</v>
      </c>
      <c r="F24" s="29" t="n">
        <f aca="false">F17+F18+F19+F22+F23</f>
        <v>-123.796856304728</v>
      </c>
      <c r="G24" s="29" t="n">
        <f aca="false">G17+G18+G19+G22+G23</f>
        <v>-154.915718773405</v>
      </c>
      <c r="H24" s="29" t="n">
        <f aca="false">H17+H18+H19+H22+H23</f>
        <v>-186.465793404096</v>
      </c>
      <c r="I24" s="6"/>
    </row>
    <row r="25" customFormat="false" ht="15" hidden="false" customHeight="false" outlineLevel="0" collapsed="false">
      <c r="A25" s="6"/>
      <c r="B25" s="9" t="s">
        <v>216</v>
      </c>
      <c r="C25" s="10"/>
      <c r="D25" s="10"/>
      <c r="E25" s="10"/>
      <c r="F25" s="10"/>
      <c r="G25" s="10"/>
      <c r="H25" s="10"/>
      <c r="I25" s="10"/>
    </row>
    <row r="26" customFormat="false" ht="15" hidden="false" customHeight="false" outlineLevel="0" collapsed="false">
      <c r="A26" s="6"/>
      <c r="B26" s="18" t="s">
        <v>50</v>
      </c>
      <c r="C26" s="25" t="n">
        <f aca="false">Opening_Cash</f>
        <v>0</v>
      </c>
      <c r="D26" s="25" t="n">
        <f aca="false">C28</f>
        <v>0</v>
      </c>
      <c r="E26" s="25" t="n">
        <f aca="false">D28</f>
        <v>50.0000000000001</v>
      </c>
      <c r="F26" s="25" t="n">
        <f aca="false">E28</f>
        <v>50.0000000000001</v>
      </c>
      <c r="G26" s="25" t="n">
        <f aca="false">F28</f>
        <v>50.0000000000001</v>
      </c>
      <c r="H26" s="25" t="n">
        <f aca="false">G28</f>
        <v>50.0000000000001</v>
      </c>
      <c r="I26" s="6"/>
    </row>
    <row r="27" customFormat="false" ht="15" hidden="false" customHeight="false" outlineLevel="0" collapsed="false">
      <c r="A27" s="6"/>
      <c r="B27" s="26" t="s">
        <v>217</v>
      </c>
      <c r="C27" s="6"/>
      <c r="D27" s="31" t="n">
        <f aca="false">D12+D15+D24</f>
        <v>50.0000000000001</v>
      </c>
      <c r="E27" s="31" t="n">
        <f aca="false">E12+E15+E24</f>
        <v>0</v>
      </c>
      <c r="F27" s="31" t="n">
        <f aca="false">F12+F15+F24</f>
        <v>0</v>
      </c>
      <c r="G27" s="31" t="n">
        <f aca="false">G12+G15+G24</f>
        <v>0</v>
      </c>
      <c r="H27" s="31" t="n">
        <f aca="false">H12+H15+H24</f>
        <v>0</v>
      </c>
      <c r="I27" s="6"/>
    </row>
    <row r="28" customFormat="false" ht="15" hidden="false" customHeight="false" outlineLevel="0" collapsed="false">
      <c r="A28" s="6"/>
      <c r="B28" s="26" t="s">
        <v>218</v>
      </c>
      <c r="C28" s="25" t="n">
        <f aca="false">Opening_Cash</f>
        <v>0</v>
      </c>
      <c r="D28" s="27" t="n">
        <f aca="false">D26+D27</f>
        <v>50.0000000000001</v>
      </c>
      <c r="E28" s="27" t="n">
        <f aca="false">E26+E27</f>
        <v>50.0000000000001</v>
      </c>
      <c r="F28" s="27" t="n">
        <f aca="false">F26+F27</f>
        <v>50.0000000000001</v>
      </c>
      <c r="G28" s="27" t="n">
        <f aca="false">G26+G27</f>
        <v>50.0000000000001</v>
      </c>
      <c r="H28" s="27" t="n">
        <f aca="false">H26+H27</f>
        <v>50.0000000000001</v>
      </c>
      <c r="I28"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2026-05-15T18:54:02Z</dcterms:created>
  <dc:creator>openpyxl</dc:creator>
  <dc:description/>
  <dc:language>en-GB</dc:language>
  <cp:lastModifiedBy/>
  <dcterms:modified xsi:type="dcterms:W3CDTF">2026-05-15T18:54:02Z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