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Demand_Revenue" sheetId="4" state="visible" r:id="rId6"/>
    <sheet name="Opex" sheetId="5" state="visible" r:id="rId7"/>
    <sheet name="Capex_RAB" sheetId="6" state="visible" r:id="rId8"/>
    <sheet name="Depreciation" sheetId="7" state="visible" r:id="rId9"/>
    <sheet name="Working_Capital" sheetId="8" state="visible" r:id="rId10"/>
    <sheet name="Debt_Financing" sheetId="9" state="visible" r:id="rId11"/>
    <sheet name="Income_Statement" sheetId="10" state="visible" r:id="rId12"/>
    <sheet name="Balance_Sheet" sheetId="11" state="visible" r:id="rId13"/>
    <sheet name="Cash_Flow" sheetId="12" state="visible" r:id="rId14"/>
    <sheet name="Ratios_Checks" sheetId="13" state="visible" r:id="rId15"/>
  </sheets>
  <definedNames>
    <definedName function="false" hidden="false" name="Bad_Debt_Pct" vbProcedure="false">Assumptions!$C$36</definedName>
    <definedName function="false" hidden="false" name="BS_Cash" vbProcedure="false">Balance_Sheet!$C$9:$G$9</definedName>
    <definedName function="false" hidden="false" name="BS_Check" vbProcedure="false">Balance_Sheet!$C$32:$G$32</definedName>
    <definedName function="false" hidden="false" name="BS_Debt" vbProcedure="false">Balance_Sheet!$C$22:$G$22</definedName>
    <definedName function="false" hidden="false" name="BS_Inventory" vbProcedure="false">Balance_Sheet!$C$11:$G$11</definedName>
    <definedName function="false" hidden="false" name="BS_Net_PPE" vbProcedure="false">Balance_Sheet!$C$14:$G$14</definedName>
    <definedName function="false" hidden="false" name="BS_Payables" vbProcedure="false">Balance_Sheet!$C$19:$G$19</definedName>
    <definedName function="false" hidden="false" name="BS_Receivables" vbProcedure="false">Balance_Sheet!$C$10:$G$10</definedName>
    <definedName function="false" hidden="false" name="BS_Retained" vbProcedure="false">Balance_Sheet!$C$27:$G$27</definedName>
    <definedName function="false" hidden="false" name="BS_Share_Cap" vbProcedure="false">Balance_Sheet!$C$26:$G$26</definedName>
    <definedName function="false" hidden="false" name="BS_Total_Assets" vbProcedure="false">Balance_Sheet!$C$16:$G$16</definedName>
    <definedName function="false" hidden="false" name="BS_Total_CA" vbProcedure="false">Balance_Sheet!$C$12:$G$12</definedName>
    <definedName function="false" hidden="false" name="BS_Total_Equity" vbProcedure="false">Balance_Sheet!$C$28:$G$28</definedName>
    <definedName function="false" hidden="false" name="BS_Total_LE" vbProcedure="false">Balance_Sheet!$C$30:$G$30</definedName>
    <definedName function="false" hidden="false" name="BS_Total_Liab" vbProcedure="false">Balance_Sheet!$C$23:$G$23</definedName>
    <definedName function="false" hidden="false" name="Capex_Eligibility" vbProcedure="false">Assumptions!$C$40</definedName>
    <definedName function="false" hidden="false" name="CF_Capex" vbProcedure="false">Cash_Flow!$C$15:$G$15</definedName>
    <definedName function="false" hidden="false" name="CF_CFF" vbProcedure="false">Cash_Flow!$C$24:$G$24</definedName>
    <definedName function="false" hidden="false" name="CF_CFI" vbProcedure="false">Cash_Flow!$C$16:$G$16</definedName>
    <definedName function="false" hidden="false" name="CF_CFO" vbProcedure="false">Cash_Flow!$C$12:$G$12</definedName>
    <definedName function="false" hidden="false" name="CF_Close_Cash" vbProcedure="false">Cash_Flow!$C$28:$G$28</definedName>
    <definedName function="false" hidden="false" name="CF_Net_Change" vbProcedure="false">Cash_Flow!$C$26:$G$26</definedName>
    <definedName function="false" hidden="false" name="CF_Open_Cash" vbProcedure="false">Cash_Flow!$C$27:$G$27</definedName>
    <definedName function="false" hidden="false" name="Chemical_Cost_Vol" vbProcedure="false">Assumptions!$C$28</definedName>
    <definedName function="false" hidden="false" name="Cost_Of_Debt" vbProcedure="false">Assumptions!$C$61</definedName>
    <definedName function="false" hidden="false" name="CR_Eligible" vbProcedure="false">Capex_RAB!$C$12:$G$12</definedName>
    <definedName function="false" hidden="false" name="CR_Growth_Capex" vbProcedure="false">Capex_RAB!$C$10:$G$10</definedName>
    <definedName function="false" hidden="false" name="CR_Maint_Capex" vbProcedure="false">Capex_RAB!$C$9:$G$9</definedName>
    <definedName function="false" hidden="false" name="CR_RAB_Close" vbProcedure="false">Capex_RAB!$C$19:$G$19</definedName>
    <definedName function="false" hidden="false" name="CR_RAB_Open" vbProcedure="false">Capex_RAB!$C$15:$G$15</definedName>
    <definedName function="false" hidden="false" name="CR_Reg_Depr" vbProcedure="false">Capex_RAB!$C$17:$G$17</definedName>
    <definedName function="false" hidden="false" name="CR_Total_Capex" vbProcedure="false">Capex_RAB!$C$11:$G$11</definedName>
    <definedName function="false" hidden="false" name="Debt_RAB_Target" vbProcedure="false">Assumptions!$C$60</definedName>
    <definedName function="false" hidden="false" name="DEP_Net_PPE" vbProcedure="false">Depreciation!$C$35:$G$35</definedName>
    <definedName function="false" hidden="false" name="DEP_Total_Depr" vbProcedure="false">Depreciation!$C$34:$G$34</definedName>
    <definedName function="false" hidden="false" name="DEP_Total_Gross" vbProcedure="false">Depreciation!$C$33:$G$33</definedName>
    <definedName function="false" hidden="false" name="Developer_Fee" vbProcedure="false">Assumptions!$C$23</definedName>
    <definedName function="false" hidden="false" name="DF_Close_Debt" vbProcedure="false">Debt_Financing!$C$12:$G$12</definedName>
    <definedName function="false" hidden="false" name="DF_Dividends" vbProcedure="false">Debt_Financing!$C$18:$G$18</definedName>
    <definedName function="false" hidden="false" name="DF_Drawdown" vbProcedure="false">Debt_Financing!$C$10:$G$10</definedName>
    <definedName function="false" hidden="false" name="DF_Interest" vbProcedure="false">Debt_Financing!$C$15:$G$15</definedName>
    <definedName function="false" hidden="false" name="DF_Open_Debt" vbProcedure="false">Debt_Financing!$C$9:$G$9</definedName>
    <definedName function="false" hidden="false" name="DF_Repayment" vbProcedure="false">Debt_Financing!$C$11:$G$11</definedName>
    <definedName function="false" hidden="false" name="DIO_Days" vbProcedure="false">Assumptions!$C$66</definedName>
    <definedName function="false" hidden="false" name="DPO_Days" vbProcedure="false">Assumptions!$C$65</definedName>
    <definedName function="false" hidden="false" name="DR_Billed_Vol" vbProcedure="false">Demand_Revenue!$C$13:$G$13</definedName>
    <definedName function="false" hidden="false" name="DR_Connections" vbProcedure="false">Demand_Revenue!$C$9:$G$9</definedName>
    <definedName function="false" hidden="false" name="DR_Dev_Fees" vbProcedure="false">Demand_Revenue!$C$28:$G$28</definedName>
    <definedName function="false" hidden="false" name="DR_Total_Rev" vbProcedure="false">Demand_Revenue!$C$30:$G$30</definedName>
    <definedName function="false" hidden="false" name="DR_Total_Vol" vbProcedure="false">Demand_Revenue!$C$11:$G$11</definedName>
    <definedName function="false" hidden="false" name="DR_Total_Water" vbProcedure="false">Demand_Revenue!$C$19:$G$19</definedName>
    <definedName function="false" hidden="false" name="DR_Total_WW" vbProcedure="false">Demand_Revenue!$C$24:$G$24</definedName>
    <definedName function="false" hidden="false" name="DR_WW_Vol" vbProcedure="false">Demand_Revenue!$C$14:$G$14</definedName>
    <definedName function="false" hidden="false" name="DSO_Days" vbProcedure="false">Assumptions!$C$64</definedName>
    <definedName function="false" hidden="false" name="Energy_Intensity" vbProcedure="false">Assumptions!$C$26</definedName>
    <definedName function="false" hidden="false" name="Fixed_Water_Tariff" vbProcedure="false">Assumptions!$C$18</definedName>
    <definedName function="false" hidden="false" name="Fixed_WW_Tariff" vbProcedure="false">Assumptions!$C$20</definedName>
    <definedName function="false" hidden="false" name="Growth_Capex_Pct" vbProcedure="false">Assumptions!$C$39</definedName>
    <definedName function="false" hidden="false" name="Inflation_Rate" vbProcedure="false">Assumptions!$C$7</definedName>
    <definedName function="false" hidden="false" name="Insurance_Pct" vbProcedure="false">Assumptions!$C$34</definedName>
    <definedName function="false" hidden="false" name="IS_DA" vbProcedure="false">Income_Statement!$C$33:$G$33</definedName>
    <definedName function="false" hidden="false" name="IS_EBIT" vbProcedure="false">Income_Statement!$C$34:$G$34</definedName>
    <definedName function="false" hidden="false" name="IS_EBITDA" vbProcedure="false">Income_Statement!$C$31:$G$31</definedName>
    <definedName function="false" hidden="false" name="IS_Gross_Profit" vbProcedure="false">Income_Statement!$C$20:$G$20</definedName>
    <definedName function="false" hidden="false" name="IS_Interest" vbProcedure="false">Income_Statement!$C$36:$G$36</definedName>
    <definedName function="false" hidden="false" name="IS_Net_Income" vbProcedure="false">Income_Statement!$C$40:$G$40</definedName>
    <definedName function="false" hidden="false" name="IS_Tax" vbProcedure="false">Income_Statement!$C$39:$G$39</definedName>
    <definedName function="false" hidden="false" name="IS_Total_Rev" vbProcedure="false">Income_Statement!$C$12:$G$12</definedName>
    <definedName function="false" hidden="false" name="IT_Billing_Pct" vbProcedure="false">Assumptions!$C$33</definedName>
    <definedName function="false" hidden="false" name="Labour_Per_Conn" vbProcedure="false">Assumptions!$C$31</definedName>
    <definedName function="false" hidden="false" name="Life_Equip" vbProcedure="false">Assumptions!$C$44</definedName>
    <definedName function="false" hidden="false" name="Life_IT" vbProcedure="false">Assumptions!$C$45</definedName>
    <definedName function="false" hidden="false" name="Life_Pipe" vbProcedure="false">Assumptions!$C$42</definedName>
    <definedName function="false" hidden="false" name="Life_Plant" vbProcedure="false">Assumptions!$C$43</definedName>
    <definedName function="false" hidden="false" name="Maint_Capex_Pct" vbProcedure="false">Assumptions!$C$38</definedName>
    <definedName function="false" hidden="false" name="Mix_Equip" vbProcedure="false">Assumptions!$C$49</definedName>
    <definedName function="false" hidden="false" name="Mix_IT" vbProcedure="false">Assumptions!$C$50</definedName>
    <definedName function="false" hidden="false" name="Mix_Pipe" vbProcedure="false">Assumptions!$C$47</definedName>
    <definedName function="false" hidden="false" name="Mix_Plant" vbProcedure="false">Assumptions!$C$48</definedName>
    <definedName function="false" hidden="false" name="Net_Maint_Pct" vbProcedure="false">Assumptions!$C$32</definedName>
    <definedName function="false" hidden="false" name="New_Connections_Yr" vbProcedure="false">Assumptions!$C$24</definedName>
    <definedName function="false" hidden="false" name="NRW_Pct" vbProcedure="false">Assumptions!$C$15</definedName>
    <definedName function="false" hidden="false" name="Opening_Cash" vbProcedure="false">Assumptions!$C$58</definedName>
    <definedName function="false" hidden="false" name="Opening_Connections" vbProcedure="false">Assumptions!$C$13</definedName>
    <definedName function="false" hidden="false" name="Opening_RAB" vbProcedure="false">Assumptions!$C$52</definedName>
    <definedName function="false" hidden="false" name="Open_Accum_Depr" vbProcedure="false">Assumptions!$C$57</definedName>
    <definedName function="false" hidden="false" name="Open_Gross_Equip" vbProcedure="false">Assumptions!$C$55</definedName>
    <definedName function="false" hidden="false" name="Open_Gross_IT" vbProcedure="false">Assumptions!$C$56</definedName>
    <definedName function="false" hidden="false" name="Open_Gross_Pipe" vbProcedure="false">Assumptions!$C$53</definedName>
    <definedName function="false" hidden="false" name="Open_Gross_Plant" vbProcedure="false">Assumptions!$C$54</definedName>
    <definedName function="false" hidden="false" name="OX_Bad_Debt" vbProcedure="false">Opex!$C$20:$G$20</definedName>
    <definedName function="false" hidden="false" name="OX_Chemical" vbProcedure="false">Opex!$C$10:$G$10</definedName>
    <definedName function="false" hidden="false" name="OX_EBITDA" vbProcedure="false">Opex!$C$25:$G$25</definedName>
    <definedName function="false" hidden="false" name="OX_Insurance" vbProcedure="false">Opex!$C$18:$G$18</definedName>
    <definedName function="false" hidden="false" name="OX_IT" vbProcedure="false">Opex!$C$17:$G$17</definedName>
    <definedName function="false" hidden="false" name="OX_Labour" vbProcedure="false">Opex!$C$15:$G$15</definedName>
    <definedName function="false" hidden="false" name="OX_Maintenance" vbProcedure="false">Opex!$C$16:$G$16</definedName>
    <definedName function="false" hidden="false" name="OX_Power" vbProcedure="false">Opex!$C$9:$G$9</definedName>
    <definedName function="false" hidden="false" name="OX_Regulatory" vbProcedure="false">Opex!$C$19:$G$19</definedName>
    <definedName function="false" hidden="false" name="OX_Sludge" vbProcedure="false">Opex!$C$11:$G$11</definedName>
    <definedName function="false" hidden="false" name="OX_Total_Fixed" vbProcedure="false">Opex!$C$21:$G$21</definedName>
    <definedName function="false" hidden="false" name="OX_Total_Opex" vbProcedure="false">Opex!$C$23:$G$23</definedName>
    <definedName function="false" hidden="false" name="OX_Total_Var" vbProcedure="false">Opex!$C$12:$G$12</definedName>
    <definedName function="false" hidden="false" name="Payout_Ratio" vbProcedure="false">Assumptions!$C$68</definedName>
    <definedName function="false" hidden="false" name="Persons_HH" vbProcedure="false">Assumptions!$C$9</definedName>
    <definedName function="false" hidden="false" name="Per_Capita_Consump" vbProcedure="false">Assumptions!$C$14</definedName>
    <definedName function="false" hidden="false" name="Pop_Growth" vbProcedure="false">Assumptions!$C$8</definedName>
    <definedName function="false" hidden="false" name="Power_Price" vbProcedure="false">Assumptions!$C$27</definedName>
    <definedName function="false" hidden="false" name="Reg_Compliance_Pct" vbProcedure="false">Assumptions!$C$35</definedName>
    <definedName function="false" hidden="false" name="Reg_Depr_Rate" vbProcedure="false">Assumptions!$C$11</definedName>
    <definedName function="false" hidden="false" name="Reg_WACC" vbProcedure="false">Assumptions!$C$10</definedName>
    <definedName function="false" hidden="false" name="Return_Sewer" vbProcedure="false">Assumptions!$C$16</definedName>
    <definedName function="false" hidden="false" name="Sludge_Cost_Vol" vbProcedure="false">Assumptions!$C$29</definedName>
    <definedName function="false" hidden="false" name="Tariff_Escalation" vbProcedure="false">Assumptions!$C$22</definedName>
    <definedName function="false" hidden="false" name="Tax_Rate" vbProcedure="false">Assumptions!$C$62</definedName>
    <definedName function="false" hidden="false" name="Vol_Water_Tariff" vbProcedure="false">Assumptions!$C$19</definedName>
    <definedName function="false" hidden="false" name="Vol_WW_Tariff" vbProcedure="false">Assumptions!$C$21</definedName>
    <definedName function="false" hidden="false" name="WC_Change" vbProcedure="false">Working_Capital!$C$18:$G$18</definedName>
    <definedName function="false" hidden="false" name="WC_Inventory" vbProcedure="false">Working_Capital!$C$15:$G$15</definedName>
    <definedName function="false" hidden="false" name="WC_NWC" vbProcedure="false">Working_Capital!$C$17:$G$17</definedName>
    <definedName function="false" hidden="false" name="WC_Payables" vbProcedure="false">Working_Capital!$C$12:$G$12</definedName>
    <definedName function="false" hidden="false" name="WC_Receivables" vbProcedure="false">Working_Capital!$C$9:$G$9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<sst xmlns="http://schemas.openxmlformats.org/spreadsheetml/2006/main" count="445" uniqueCount="333">
  <si>
    <t xml:space="preserve">Water &amp; Wastewater Utility Model</t>
  </si>
  <si>
    <t xml:space="preserve">FINAMODEL.com</t>
  </si>
  <si>
    <t xml:space="preserve">Regulated utility analysis</t>
  </si>
  <si>
    <t xml:space="preserve">Model Structure</t>
  </si>
  <si>
    <t xml:space="preserve">Cover</t>
  </si>
  <si>
    <t xml:space="preserve">Title and navigation</t>
  </si>
  <si>
    <t xml:space="preserve">Assumptions</t>
  </si>
  <si>
    <t xml:space="preserve">Model parameters</t>
  </si>
  <si>
    <t xml:space="preserve">Demand_Revenue</t>
  </si>
  <si>
    <t xml:space="preserve">Volume and revenue</t>
  </si>
  <si>
    <t xml:space="preserve">Opex</t>
  </si>
  <si>
    <t xml:space="preserve">Operating costs</t>
  </si>
  <si>
    <t xml:space="preserve">Capex_RAB</t>
  </si>
  <si>
    <t xml:space="preserve">Capex and asset base</t>
  </si>
  <si>
    <t xml:space="preserve">Depreciation</t>
  </si>
  <si>
    <t xml:space="preserve">Asset depreciation</t>
  </si>
  <si>
    <t xml:space="preserve">Working_Capital</t>
  </si>
  <si>
    <t xml:space="preserve">WC schedules</t>
  </si>
  <si>
    <t xml:space="preserve">Debt_Financing</t>
  </si>
  <si>
    <t xml:space="preserve">Debt and dividends</t>
  </si>
  <si>
    <t xml:space="preserve">Income_Statement</t>
  </si>
  <si>
    <t xml:space="preserve">Profit and loss</t>
  </si>
  <si>
    <t xml:space="preserve">Balance_Sheet</t>
  </si>
  <si>
    <t xml:space="preserve">Assets and liabilities</t>
  </si>
  <si>
    <t xml:space="preserve">Cash_Flow</t>
  </si>
  <si>
    <t xml:space="preserve">Cash flow statement</t>
  </si>
  <si>
    <t xml:space="preserve">Ratios_Checks</t>
  </si>
  <si>
    <t xml:space="preserve">KPIs and validation</t>
  </si>
  <si>
    <t xml:space="preserve">Tab Colour Legend</t>
  </si>
  <si>
    <t xml:space="preserve">Dark Blue</t>
  </si>
  <si>
    <t xml:space="preserve">Light Blue</t>
  </si>
  <si>
    <t xml:space="preserve">Assumptions / Inputs</t>
  </si>
  <si>
    <t xml:space="preserve">Green</t>
  </si>
  <si>
    <t xml:space="preserve">Revenue drivers</t>
  </si>
  <si>
    <t xml:space="preserve">Orange</t>
  </si>
  <si>
    <t xml:space="preserve">Cost / capex schedules</t>
  </si>
  <si>
    <t xml:space="preserve">Red</t>
  </si>
  <si>
    <t xml:space="preserve">Debt / Risk</t>
  </si>
  <si>
    <t xml:space="preserve">Grey</t>
  </si>
  <si>
    <t xml:space="preserve">Summary / Output</t>
  </si>
  <si>
    <t xml:space="preserve">About this model</t>
  </si>
  <si>
    <t xml:space="preserve">Model a water and wastewater utility with regulated tariffs, volume-driven consumption, and massive capital requirements. Revenue is split between fixed charges (per-connection annual fee) and volumetric charges (per-cubic-meter tariff), with separate tariffs for water supply and wastewater collection/treatment. Non-Revenue Water (NRW) of 15â20% reflects leakage losses; wastewater volumes are modeled as a percentage of water deliveries (typically 90â95% return to sewer).
Costs include power (largest variable cost, 6 kWh per cubic meter at $0.12/kWh = $0.72/mÂ³), chemicals (chlorine, coagulants at $0.05/mÂ³), and labor (30â40% of opex). Capex is 15â30% of revenue (much higher than electric utilities) due to aging pipe networks and new environmental regulations (PFAS remediation, nutrient discharge limits). Capex is bifurcated: RAB-eligible infrastructure (70â90% of total) recovers through tariffs; other capex (vehicles, IT) is expensed.
Key metrics: Debt/RAB ratio (target 60â65%), interest coverage ratio (ICR, minimum 1.5x), and customer connection growth (1â3% p.a.). Tariff adequacy is critical: if tariffs are held flat against inflation, coverage ratios deteriorate and borrowing capacity shrinks, limiting capex. This model is essential for municipal water systems, regional utilities (Severn Trent, United Utilities), and water infrastructure investors.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</si>
  <si>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</si>
  <si>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</si>
  <si>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</si>
  <si>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</si>
  <si>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</si>
  <si>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</si>
  <si>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</si>
  <si>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</si>
  <si>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</si>
  <si>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</si>
  <si>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</si>
  <si>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</si>
  <si>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</si>
  <si>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</si>
  <si>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</si>
  <si>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</si>
  <si>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</si>
  <si>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</si>
  <si>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</si>
  <si>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</si>
  <si>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</si>
  <si>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</si>
  <si>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</si>
  <si>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</si>
  <si>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</si>
  <si>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</si>
  <si>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Macro &amp; Regulatory</t>
  </si>
  <si>
    <t xml:space="preserve">Inflation Rate (CPI)</t>
  </si>
  <si>
    <t xml:space="preserve">%</t>
  </si>
  <si>
    <t xml:space="preserve">Long-term target</t>
  </si>
  <si>
    <t xml:space="preserve">Population Growth</t>
  </si>
  <si>
    <t xml:space="preserve">Stable developed region</t>
  </si>
  <si>
    <t xml:space="preserve">Persons per Household</t>
  </si>
  <si>
    <t xml:space="preserve">Persons</t>
  </si>
  <si>
    <t xml:space="preserve">Demographic average</t>
  </si>
  <si>
    <t xml:space="preserve">Allowed Reg WACC</t>
  </si>
  <si>
    <t xml:space="preserve">Regulatory return</t>
  </si>
  <si>
    <t xml:space="preserve">Reg Depreciation Rate</t>
  </si>
  <si>
    <t xml:space="preserve">% of RAB</t>
  </si>
  <si>
    <t xml:space="preserve">Regulatory allowance</t>
  </si>
  <si>
    <t xml:space="preserve">Demand &amp; Volume</t>
  </si>
  <si>
    <t xml:space="preserve">Opening Connections</t>
  </si>
  <si>
    <t xml:space="preserve">#</t>
  </si>
  <si>
    <t xml:space="preserve">Residential + commercial</t>
  </si>
  <si>
    <t xml:space="preserve">Per Capita Consumption</t>
  </si>
  <si>
    <t xml:space="preserve">L/day</t>
  </si>
  <si>
    <t xml:space="preserve">UK/Europe typical</t>
  </si>
  <si>
    <t xml:space="preserve">Non-Revenue Water</t>
  </si>
  <si>
    <t xml:space="preserve">Network losses (leakage)</t>
  </si>
  <si>
    <t xml:space="preserve">Return to Sewer</t>
  </si>
  <si>
    <t xml:space="preserve">8% consumed, not returned</t>
  </si>
  <si>
    <t xml:space="preserve">Tariffs</t>
  </si>
  <si>
    <t xml:space="preserve">Fixed Water Tariff</t>
  </si>
  <si>
    <t xml:space="preserve">$/yr</t>
  </si>
  <si>
    <t xml:space="preserve">Annual fixed charge</t>
  </si>
  <si>
    <t xml:space="preserve">Volumetric Water Tariff</t>
  </si>
  <si>
    <t xml:space="preserve">$/m3</t>
  </si>
  <si>
    <t xml:space="preserve">Potable water rate</t>
  </si>
  <si>
    <t xml:space="preserve">Fixed WW Tariff</t>
  </si>
  <si>
    <t xml:space="preserve">Annual sewerage charge</t>
  </si>
  <si>
    <t xml:space="preserve">Volumetric WW Tariff</t>
  </si>
  <si>
    <t xml:space="preserve">Treatment rate</t>
  </si>
  <si>
    <t xml:space="preserve">Tariff Escalation</t>
  </si>
  <si>
    <t xml:space="preserve">%/yr</t>
  </si>
  <si>
    <t xml:space="preserve">CPI + K factor</t>
  </si>
  <si>
    <t xml:space="preserve">Developer Fee</t>
  </si>
  <si>
    <t xml:space="preserve">$/conn</t>
  </si>
  <si>
    <t xml:space="preserve">Infrastructure charge</t>
  </si>
  <si>
    <t xml:space="preserve">New Connections / Yr</t>
  </si>
  <si>
    <t xml:space="preserve">#/yr</t>
  </si>
  <si>
    <t xml:space="preserve">Housing starts</t>
  </si>
  <si>
    <t xml:space="preserve">Variable Costs</t>
  </si>
  <si>
    <t xml:space="preserve">Energy Intensity</t>
  </si>
  <si>
    <t xml:space="preserve">kWh/m3</t>
  </si>
  <si>
    <t xml:space="preserve">Pump and treat</t>
  </si>
  <si>
    <t xml:space="preserve">Power Price</t>
  </si>
  <si>
    <t xml:space="preserve">$/kWh</t>
  </si>
  <si>
    <t xml:space="preserve">Industrial electricity</t>
  </si>
  <si>
    <t xml:space="preserve">Chemical Cost</t>
  </si>
  <si>
    <t xml:space="preserve">Chlorine, coagulants</t>
  </si>
  <si>
    <t xml:space="preserve">Sludge Disposal</t>
  </si>
  <si>
    <t xml:space="preserve">Transport and disposal</t>
  </si>
  <si>
    <t xml:space="preserve">Fixed Operating Costs</t>
  </si>
  <si>
    <t xml:space="preserve">Labour / Connection</t>
  </si>
  <si>
    <t xml:space="preserve">Blended headcount</t>
  </si>
  <si>
    <t xml:space="preserve">Network Maintenance</t>
  </si>
  <si>
    <t xml:space="preserve">% of Rev</t>
  </si>
  <si>
    <t xml:space="preserve">Leak repairs, sewers</t>
  </si>
  <si>
    <t xml:space="preserve">IT &amp; Billing</t>
  </si>
  <si>
    <t xml:space="preserve">Smart meters, SCADA</t>
  </si>
  <si>
    <t xml:space="preserve">Insurance</t>
  </si>
  <si>
    <t xml:space="preserve">Liability, environmental</t>
  </si>
  <si>
    <t xml:space="preserve">Regulatory Compliance</t>
  </si>
  <si>
    <t xml:space="preserve">Testing, agency fees</t>
  </si>
  <si>
    <t xml:space="preserve">Bad Debt</t>
  </si>
  <si>
    <t xml:space="preserve">Non-payment provision</t>
  </si>
  <si>
    <t xml:space="preserve">Capital Expenditure</t>
  </si>
  <si>
    <t xml:space="preserve">Maintenance Capex</t>
  </si>
  <si>
    <t xml:space="preserve">Ageing infrastructure</t>
  </si>
  <si>
    <t xml:space="preserve">Growth Capex</t>
  </si>
  <si>
    <t xml:space="preserve">Network extensions</t>
  </si>
  <si>
    <t xml:space="preserve">Capex Eligibility</t>
  </si>
  <si>
    <t xml:space="preserve">RAB-eligible share</t>
  </si>
  <si>
    <t xml:space="preserve">Asset Useful Lives</t>
  </si>
  <si>
    <t xml:space="preserve">Pipes / Networks</t>
  </si>
  <si>
    <t xml:space="preserve">Years</t>
  </si>
  <si>
    <t xml:space="preserve">Underground mains</t>
  </si>
  <si>
    <t xml:space="preserve">Treatment Plants</t>
  </si>
  <si>
    <t xml:space="preserve">Water &amp; WW treatment</t>
  </si>
  <si>
    <t xml:space="preserve">Pumps / Equipment</t>
  </si>
  <si>
    <t xml:space="preserve">Electrical / mechanical</t>
  </si>
  <si>
    <t xml:space="preserve">IT / Smart Meters</t>
  </si>
  <si>
    <t xml:space="preserve">Software, sensors</t>
  </si>
  <si>
    <t xml:space="preserve">Capex Mix (% of Total)</t>
  </si>
  <si>
    <t xml:space="preserve">Largest component</t>
  </si>
  <si>
    <t xml:space="preserve">Second largest</t>
  </si>
  <si>
    <t xml:space="preserve">Mechanical</t>
  </si>
  <si>
    <t xml:space="preserve">Digital investment</t>
  </si>
  <si>
    <t xml:space="preserve">Opening Balances ($000s)</t>
  </si>
  <si>
    <t xml:space="preserve">Opening RAB</t>
  </si>
  <si>
    <t xml:space="preserve">$000s</t>
  </si>
  <si>
    <t xml:space="preserve">Starting regulated base</t>
  </si>
  <si>
    <t xml:space="preserve">Gross Pipes</t>
  </si>
  <si>
    <t xml:space="preserve">Historical cost</t>
  </si>
  <si>
    <t xml:space="preserve">Gross Plants</t>
  </si>
  <si>
    <t xml:space="preserve">Gross Equipment</t>
  </si>
  <si>
    <t xml:space="preserve">Gross IT</t>
  </si>
  <si>
    <t xml:space="preserve">Accum Depreciation</t>
  </si>
  <si>
    <t xml:space="preserve">Opening accumulated</t>
  </si>
  <si>
    <t xml:space="preserve">Opening Cash</t>
  </si>
  <si>
    <t xml:space="preserve">Starting cash balance</t>
  </si>
  <si>
    <t xml:space="preserve">Financing</t>
  </si>
  <si>
    <t xml:space="preserve">Target Debt / RAB</t>
  </si>
  <si>
    <t xml:space="preserve">Optimal structure</t>
  </si>
  <si>
    <t xml:space="preserve">Cost of Debt</t>
  </si>
  <si>
    <t xml:space="preserve">Infrastructure bond yield</t>
  </si>
  <si>
    <t xml:space="preserve">Tax Rate</t>
  </si>
  <si>
    <t xml:space="preserve">Corporate tax</t>
  </si>
  <si>
    <t xml:space="preserve">Working Capital (Days)</t>
  </si>
  <si>
    <t xml:space="preserve">Days Sales Outstanding</t>
  </si>
  <si>
    <t xml:space="preserve">Days</t>
  </si>
  <si>
    <t xml:space="preserve">Billing cycle</t>
  </si>
  <si>
    <t xml:space="preserve">Days Payable Outstanding</t>
  </si>
  <si>
    <t xml:space="preserve">Supplier terms</t>
  </si>
  <si>
    <t xml:space="preserve">Days Inventory</t>
  </si>
  <si>
    <t xml:space="preserve">Chemicals / spares</t>
  </si>
  <si>
    <t xml:space="preserve">Dividends</t>
  </si>
  <si>
    <t xml:space="preserve">Dividend Payout</t>
  </si>
  <si>
    <t xml:space="preserve">% of net income</t>
  </si>
  <si>
    <t xml:space="preserve">Demand &amp; Revenue</t>
  </si>
  <si>
    <t xml:space="preserve">Year</t>
  </si>
  <si>
    <t xml:space="preserve">Year Number</t>
  </si>
  <si>
    <t xml:space="preserve">Connections</t>
  </si>
  <si>
    <t xml:space="preserve">Per Capita (L/day)</t>
  </si>
  <si>
    <t xml:space="preserve">Total Volume (000 m3)</t>
  </si>
  <si>
    <t xml:space="preserve">Billed Water Vol</t>
  </si>
  <si>
    <t xml:space="preserve">Wastewater Volume</t>
  </si>
  <si>
    <t xml:space="preserve">Water Revenue ($000s)</t>
  </si>
  <si>
    <t xml:space="preserve">Fixed Charges</t>
  </si>
  <si>
    <t xml:space="preserve">Volumetric Charges</t>
  </si>
  <si>
    <t xml:space="preserve">Total Water Revenue</t>
  </si>
  <si>
    <t xml:space="preserve">Wastewater Revenue ($000s)</t>
  </si>
  <si>
    <t xml:space="preserve">Total WW Revenue</t>
  </si>
  <si>
    <t xml:space="preserve">Developer Fees ($000s)</t>
  </si>
  <si>
    <t xml:space="preserve">New Connections</t>
  </si>
  <si>
    <t xml:space="preserve">Connection Fees</t>
  </si>
  <si>
    <t xml:space="preserve">TOTAL REVENUE</t>
  </si>
  <si>
    <t xml:space="preserve">Operating Expenses</t>
  </si>
  <si>
    <t xml:space="preserve">Cost build-up</t>
  </si>
  <si>
    <t xml:space="preserve">Variable Costs ($000s)</t>
  </si>
  <si>
    <t xml:space="preserve">Power &amp; Electricity</t>
  </si>
  <si>
    <t xml:space="preserve">Chemicals</t>
  </si>
  <si>
    <t xml:space="preserve">Total Variable Costs</t>
  </si>
  <si>
    <t xml:space="preserve">Fixed Costs ($000s)</t>
  </si>
  <si>
    <t xml:space="preserve">Labour</t>
  </si>
  <si>
    <t xml:space="preserve">Bad Debt Provision</t>
  </si>
  <si>
    <t xml:space="preserve">Total Fixed Costs</t>
  </si>
  <si>
    <t xml:space="preserve">TOTAL OPEX</t>
  </si>
  <si>
    <t xml:space="preserve">EBITDA</t>
  </si>
  <si>
    <t xml:space="preserve">EBITDA Margin</t>
  </si>
  <si>
    <t xml:space="preserve">Capex &amp; RAB</t>
  </si>
  <si>
    <t xml:space="preserve">Asset base roll-forward</t>
  </si>
  <si>
    <t xml:space="preserve">Capital Expenditure ($000s)</t>
  </si>
  <si>
    <t xml:space="preserve">Total Capex</t>
  </si>
  <si>
    <t xml:space="preserve">RAB-Eligible Capex</t>
  </si>
  <si>
    <t xml:space="preserve">Regulated Asset Base ($000s)</t>
  </si>
  <si>
    <t xml:space="preserve">Add: Eligible Capex</t>
  </si>
  <si>
    <t xml:space="preserve">Less: Reg Depreciation</t>
  </si>
  <si>
    <t xml:space="preserve">Add: Inflation Adj</t>
  </si>
  <si>
    <t xml:space="preserve">Closing RAB</t>
  </si>
  <si>
    <t xml:space="preserve">Depreciation Schedule</t>
  </si>
  <si>
    <t xml:space="preserve">Book depreciation by class</t>
  </si>
  <si>
    <t xml:space="preserve">Pipes / Networks ($000s)</t>
  </si>
  <si>
    <t xml:space="preserve">Opening Gross</t>
  </si>
  <si>
    <t xml:space="preserve">Additions</t>
  </si>
  <si>
    <t xml:space="preserve">Closing Gross</t>
  </si>
  <si>
    <t xml:space="preserve">Treatment Plants ($000s)</t>
  </si>
  <si>
    <t xml:space="preserve">Pumps / Equipment ($000s)</t>
  </si>
  <si>
    <t xml:space="preserve">IT / Smart Meters ($000s)</t>
  </si>
  <si>
    <t xml:space="preserve">Totals ($000s)</t>
  </si>
  <si>
    <t xml:space="preserve">Total Gross Assets</t>
  </si>
  <si>
    <t xml:space="preserve">Total Depreciation</t>
  </si>
  <si>
    <t xml:space="preserve">Net PP&amp;E</t>
  </si>
  <si>
    <t xml:space="preserve">Working Capital</t>
  </si>
  <si>
    <t xml:space="preserve">Receivables ($000s)</t>
  </si>
  <si>
    <t xml:space="preserve">Trade Receivables</t>
  </si>
  <si>
    <t xml:space="preserve">Payables ($000s)</t>
  </si>
  <si>
    <t xml:space="preserve">Trade Payables</t>
  </si>
  <si>
    <t xml:space="preserve">Inventory ($000s)</t>
  </si>
  <si>
    <t xml:space="preserve">Chemical Inventory</t>
  </si>
  <si>
    <t xml:space="preserve">Net Working Capital</t>
  </si>
  <si>
    <t xml:space="preserve">Change in WC</t>
  </si>
  <si>
    <t xml:space="preserve">Debt &amp; Financing</t>
  </si>
  <si>
    <t xml:space="preserve">Debt schedule</t>
  </si>
  <si>
    <t xml:space="preserve">Debt Balance ($000s)</t>
  </si>
  <si>
    <t xml:space="preserve">Opening Debt</t>
  </si>
  <si>
    <t xml:space="preserve">Drawdown</t>
  </si>
  <si>
    <t xml:space="preserve">Repayment</t>
  </si>
  <si>
    <t xml:space="preserve">Closing Debt</t>
  </si>
  <si>
    <t xml:space="preserve">Interest ($000s)</t>
  </si>
  <si>
    <t xml:space="preserve">Interest Expense</t>
  </si>
  <si>
    <t xml:space="preserve">Dividends ($000s)</t>
  </si>
  <si>
    <t xml:space="preserve">Dividends Paid</t>
  </si>
  <si>
    <t xml:space="preserve">Covenant Metrics</t>
  </si>
  <si>
    <t xml:space="preserve">Debt / RAB</t>
  </si>
  <si>
    <t xml:space="preserve">Interest Cover Ratio</t>
  </si>
  <si>
    <t xml:space="preserve">Income Statement</t>
  </si>
  <si>
    <t xml:space="preserve">Revenue ($000s)</t>
  </si>
  <si>
    <t xml:space="preserve">Water Revenue</t>
  </si>
  <si>
    <t xml:space="preserve">Wastewater Revenue</t>
  </si>
  <si>
    <t xml:space="preserve">Developer Fees</t>
  </si>
  <si>
    <t xml:space="preserve">Total Revenue</t>
  </si>
  <si>
    <t xml:space="preserve">Cost of Sales ($000s)</t>
  </si>
  <si>
    <t xml:space="preserve">Total COGS</t>
  </si>
  <si>
    <t xml:space="preserve">Gross Profit</t>
  </si>
  <si>
    <t xml:space="preserve">Operating Expenses ($000s)</t>
  </si>
  <si>
    <t xml:space="preserve">Total Opex</t>
  </si>
  <si>
    <t xml:space="preserve">EBIT</t>
  </si>
  <si>
    <t xml:space="preserve">EBT</t>
  </si>
  <si>
    <t xml:space="preserve">Tax</t>
  </si>
  <si>
    <t xml:space="preserve">NET INCOME</t>
  </si>
  <si>
    <t xml:space="preserve">Balance Sheet</t>
  </si>
  <si>
    <t xml:space="preserve">Current Assets ($000s)</t>
  </si>
  <si>
    <t xml:space="preserve">Cash</t>
  </si>
  <si>
    <t xml:space="preserve">Receivables</t>
  </si>
  <si>
    <t xml:space="preserve">Inventory</t>
  </si>
  <si>
    <t xml:space="preserve">Total Current Assets</t>
  </si>
  <si>
    <t xml:space="preserve">TOTAL ASSETS</t>
  </si>
  <si>
    <t xml:space="preserve">Current Liabilities ($000s)</t>
  </si>
  <si>
    <t xml:space="preserve">Payables</t>
  </si>
  <si>
    <t xml:space="preserve">Total Current Liab</t>
  </si>
  <si>
    <t xml:space="preserve">Long-Term Debt</t>
  </si>
  <si>
    <t xml:space="preserve">Total Liabilities</t>
  </si>
  <si>
    <t xml:space="preserve">Equity ($000s)</t>
  </si>
  <si>
    <t xml:space="preserve">Share Capital</t>
  </si>
  <si>
    <t xml:space="preserve">Retained Earnings</t>
  </si>
  <si>
    <t xml:space="preserve">Total Equity</t>
  </si>
  <si>
    <t xml:space="preserve">TOTAL L + E</t>
  </si>
  <si>
    <t xml:space="preserve">Balance Check</t>
  </si>
  <si>
    <t xml:space="preserve">Cash Flow Statement</t>
  </si>
  <si>
    <t xml:space="preserve">Indirect method</t>
  </si>
  <si>
    <t xml:space="preserve">Operating Activities ($000s)</t>
  </si>
  <si>
    <t xml:space="preserve">Net Income</t>
  </si>
  <si>
    <t xml:space="preserve">Add: Depreciation</t>
  </si>
  <si>
    <t xml:space="preserve">Cash from Operations</t>
  </si>
  <si>
    <t xml:space="preserve">Investing Activities ($000s)</t>
  </si>
  <si>
    <t xml:space="preserve">Cash from Investing</t>
  </si>
  <si>
    <t xml:space="preserve">Financing Activities ($000s)</t>
  </si>
  <si>
    <t xml:space="preserve">Debt Drawdown</t>
  </si>
  <si>
    <t xml:space="preserve">Debt Repayment</t>
  </si>
  <si>
    <t xml:space="preserve">Equity Injection</t>
  </si>
  <si>
    <t xml:space="preserve">Cash from Financing</t>
  </si>
  <si>
    <t xml:space="preserve">Net Cash Change</t>
  </si>
  <si>
    <t xml:space="preserve">Closing Cash</t>
  </si>
  <si>
    <t xml:space="preserve">Cash Check</t>
  </si>
  <si>
    <t xml:space="preserve">Ratios &amp; Checks</t>
  </si>
  <si>
    <t xml:space="preserve">Key Ratios</t>
  </si>
  <si>
    <t xml:space="preserve">EBIT Margin</t>
  </si>
  <si>
    <t xml:space="preserve">Net Margin</t>
  </si>
  <si>
    <t xml:space="preserve">Return on Equity</t>
  </si>
  <si>
    <t xml:space="preserve">FCF Margin</t>
  </si>
  <si>
    <t xml:space="preserve">Reg Return on RAB</t>
  </si>
  <si>
    <t xml:space="preserve">Validation Checks</t>
  </si>
  <si>
    <t xml:space="preserve">BS Balances</t>
  </si>
  <si>
    <t xml:space="preserve">Debt/RAB &lt; 80%</t>
  </si>
  <si>
    <t xml:space="preserve">ICR &gt; 1.5x</t>
  </si>
  <si>
    <t xml:space="preserve">NRW 10-30%</t>
  </si>
  <si>
    <t xml:space="preserve">EBITDA 45-60%</t>
  </si>
  <si>
    <t xml:space="preserve">WW Vol &lt;= Water</t>
  </si>
  <si>
    <t xml:space="preserve">Depr &lt;= Gross PPE</t>
  </si>
  <si>
    <t xml:space="preserve">Cash Flow Check</t>
  </si>
</sst>
</file>

<file path=xl/styles.xml><?xml version="1.0" encoding="utf-8"?>
<styleSheet xmlns="http://schemas.openxmlformats.org/spreadsheetml/2006/main">
  <numFmts count="6">
    <numFmt numFmtId="164" formatCode="General"/>
    <numFmt numFmtId="165" formatCode="0.00%"/>
    <numFmt numFmtId="166" formatCode="#,##0.00"/>
    <numFmt numFmtId="167" formatCode="0"/>
    <numFmt numFmtId="168" formatCode="0.00"/>
    <numFmt numFmtId="169" formatCode="@"/>
  </numFmts>
  <fonts count="22">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7" fontId="16" fillId="9" borderId="0" xfId="0" applyFont="true" applyBorder="false" applyAlignment="true" applyProtection="false">
      <alignment horizontal="center" vertical="center" textRotation="0" wrapText="false" indent="0" shrinkToFit="false"/>
      <protection locked="true" hidden="false"/>
    </xf>
    <xf numFmtId="167" fontId="10" fillId="0" borderId="0" xfId="0" applyFont="true" applyBorder="false" applyAlignment="true" applyProtection="false">
      <alignment horizontal="center"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6" fontId="9" fillId="0" borderId="3" xfId="0" applyFont="true" applyBorder="true" applyAlignment="true" applyProtection="false">
      <alignment horizontal="right" vertical="center" textRotation="0" wrapText="false" indent="0"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1"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2"/>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26</v>
      </c>
      <c r="C18" s="8" t="s">
        <v>27</v>
      </c>
      <c r="D18" s="14"/>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29</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30</v>
      </c>
      <c r="C23" s="8" t="s">
        <v>31</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33</v>
      </c>
      <c r="D24" s="11"/>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34</v>
      </c>
      <c r="C25" s="8" t="s">
        <v>35</v>
      </c>
      <c r="D25" s="12"/>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36</v>
      </c>
      <c r="C26" s="8" t="s">
        <v>37</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38</v>
      </c>
      <c r="C27" s="8" t="s">
        <v>39</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40</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208.5" hidden="false" customHeight="true" outlineLevel="0" collapsed="false">
      <c r="A31" s="5"/>
      <c r="B31" s="17" t="s">
        <v>41</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42</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43</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44</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45</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268</v>
      </c>
      <c r="C2" s="5"/>
      <c r="D2" s="5"/>
      <c r="E2" s="5"/>
      <c r="F2" s="5"/>
      <c r="G2" s="5"/>
    </row>
    <row r="3" customFormat="false" ht="15" hidden="false" customHeight="false" outlineLevel="0" collapsed="false">
      <c r="A3" s="5"/>
      <c r="B3" s="29" t="s">
        <v>21</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269</v>
      </c>
      <c r="C8" s="16"/>
      <c r="D8" s="16"/>
      <c r="E8" s="16"/>
      <c r="F8" s="16"/>
      <c r="G8" s="16"/>
    </row>
    <row r="9" customFormat="false" ht="15" hidden="false" customHeight="false" outlineLevel="0" collapsed="false">
      <c r="A9" s="5"/>
      <c r="B9" s="39" t="s">
        <v>270</v>
      </c>
      <c r="C9" s="38" t="n">
        <f aca="false">DR_Total_Water</f>
        <v>27174996</v>
      </c>
      <c r="D9" s="38" t="n">
        <f aca="false">DR_Total_Water</f>
        <v>28270148.3388</v>
      </c>
      <c r="E9" s="38" t="n">
        <f aca="false">DR_Total_Water</f>
        <v>29409435.3168536</v>
      </c>
      <c r="F9" s="38" t="n">
        <f aca="false">DR_Total_Water</f>
        <v>30594635.5601228</v>
      </c>
      <c r="G9" s="38" t="n">
        <f aca="false">DR_Total_Water</f>
        <v>31827599.3731958</v>
      </c>
    </row>
    <row r="10" customFormat="false" ht="15" hidden="false" customHeight="false" outlineLevel="0" collapsed="false">
      <c r="A10" s="5"/>
      <c r="B10" s="39" t="s">
        <v>271</v>
      </c>
      <c r="C10" s="38" t="n">
        <f aca="false">DR_Total_WW</f>
        <v>29161679.04</v>
      </c>
      <c r="D10" s="38" t="n">
        <f aca="false">DR_Total_WW</f>
        <v>30336894.705312</v>
      </c>
      <c r="E10" s="38" t="n">
        <f aca="false">DR_Total_WW</f>
        <v>31559471.5619361</v>
      </c>
      <c r="F10" s="38" t="n">
        <f aca="false">DR_Total_WW</f>
        <v>32831318.2658821</v>
      </c>
      <c r="G10" s="38" t="n">
        <f aca="false">DR_Total_WW</f>
        <v>34154420.3919972</v>
      </c>
    </row>
    <row r="11" customFormat="false" ht="15" hidden="false" customHeight="false" outlineLevel="0" collapsed="false">
      <c r="A11" s="5"/>
      <c r="B11" s="39" t="s">
        <v>272</v>
      </c>
      <c r="C11" s="38" t="n">
        <f aca="false">DR_Dev_Fees</f>
        <v>10000</v>
      </c>
      <c r="D11" s="38" t="n">
        <f aca="false">DR_Dev_Fees</f>
        <v>10000</v>
      </c>
      <c r="E11" s="38" t="n">
        <f aca="false">DR_Dev_Fees</f>
        <v>10000</v>
      </c>
      <c r="F11" s="38" t="n">
        <f aca="false">DR_Dev_Fees</f>
        <v>10000</v>
      </c>
      <c r="G11" s="38" t="n">
        <f aca="false">DR_Dev_Fees</f>
        <v>10000</v>
      </c>
    </row>
    <row r="12" customFormat="false" ht="15" hidden="false" customHeight="false" outlineLevel="0" collapsed="false">
      <c r="A12" s="5"/>
      <c r="B12" s="40" t="s">
        <v>273</v>
      </c>
      <c r="C12" s="41" t="n">
        <f aca="false">C9+C10+C11</f>
        <v>56346675.04</v>
      </c>
      <c r="D12" s="41" t="n">
        <f aca="false">D9+D10+D11</f>
        <v>58617043.044112</v>
      </c>
      <c r="E12" s="41" t="n">
        <f aca="false">E9+E10+E11</f>
        <v>60978906.8787897</v>
      </c>
      <c r="F12" s="41" t="n">
        <f aca="false">F9+F10+F11</f>
        <v>63435953.8260049</v>
      </c>
      <c r="G12" s="41" t="n">
        <f aca="false">G9+G10+G11</f>
        <v>65992019.7651929</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274</v>
      </c>
      <c r="C14" s="16"/>
      <c r="D14" s="16"/>
      <c r="E14" s="16"/>
      <c r="F14" s="16"/>
      <c r="G14" s="16"/>
    </row>
    <row r="15" customFormat="false" ht="15" hidden="false" customHeight="false" outlineLevel="0" collapsed="false">
      <c r="A15" s="5"/>
      <c r="B15" s="39" t="s">
        <v>212</v>
      </c>
      <c r="C15" s="38" t="n">
        <f aca="false">OX_Power</f>
        <v>-1324512</v>
      </c>
      <c r="D15" s="38" t="n">
        <f aca="false">OX_Power</f>
        <v>-1337757.12</v>
      </c>
      <c r="E15" s="38" t="n">
        <f aca="false">OX_Power</f>
        <v>-1351134.6912</v>
      </c>
      <c r="F15" s="38" t="n">
        <f aca="false">OX_Power</f>
        <v>-1364646.038112</v>
      </c>
      <c r="G15" s="38" t="n">
        <f aca="false">OX_Power</f>
        <v>-1378292.49849312</v>
      </c>
    </row>
    <row r="16" customFormat="false" ht="15" hidden="false" customHeight="false" outlineLevel="0" collapsed="false">
      <c r="A16" s="5"/>
      <c r="B16" s="39" t="s">
        <v>213</v>
      </c>
      <c r="C16" s="38" t="n">
        <f aca="false">OX_Chemical</f>
        <v>-919800</v>
      </c>
      <c r="D16" s="38" t="n">
        <f aca="false">OX_Chemical</f>
        <v>-928998</v>
      </c>
      <c r="E16" s="38" t="n">
        <f aca="false">OX_Chemical</f>
        <v>-938287.98</v>
      </c>
      <c r="F16" s="38" t="n">
        <f aca="false">OX_Chemical</f>
        <v>-947670.8598</v>
      </c>
      <c r="G16" s="38" t="n">
        <f aca="false">OX_Chemical</f>
        <v>-957147.568398</v>
      </c>
    </row>
    <row r="17" customFormat="false" ht="15" hidden="false" customHeight="false" outlineLevel="0" collapsed="false">
      <c r="A17" s="5"/>
      <c r="B17" s="39" t="s">
        <v>122</v>
      </c>
      <c r="C17" s="38" t="n">
        <f aca="false">OX_Sludge</f>
        <v>-551880</v>
      </c>
      <c r="D17" s="38" t="n">
        <f aca="false">OX_Sludge</f>
        <v>-557398.8</v>
      </c>
      <c r="E17" s="38" t="n">
        <f aca="false">OX_Sludge</f>
        <v>-562972.788</v>
      </c>
      <c r="F17" s="38" t="n">
        <f aca="false">OX_Sludge</f>
        <v>-568602.51588</v>
      </c>
      <c r="G17" s="38" t="n">
        <f aca="false">OX_Sludge</f>
        <v>-574288.5410388</v>
      </c>
    </row>
    <row r="18" customFormat="false" ht="15" hidden="false" customHeight="false" outlineLevel="0" collapsed="false">
      <c r="A18" s="5"/>
      <c r="B18" s="40" t="s">
        <v>275</v>
      </c>
      <c r="C18" s="41" t="n">
        <f aca="false">C15+C16+C17</f>
        <v>-2796192</v>
      </c>
      <c r="D18" s="41" t="n">
        <f aca="false">D15+D16+D17</f>
        <v>-2824153.92</v>
      </c>
      <c r="E18" s="41" t="n">
        <f aca="false">E15+E16+E17</f>
        <v>-2852395.4592</v>
      </c>
      <c r="F18" s="41" t="n">
        <f aca="false">F15+F16+F17</f>
        <v>-2880919.413792</v>
      </c>
      <c r="G18" s="41" t="n">
        <f aca="false">G15+G16+G17</f>
        <v>-2909728.60792992</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42" t="s">
        <v>276</v>
      </c>
      <c r="C20" s="43" t="n">
        <f aca="false">C12+C18</f>
        <v>53550483.04</v>
      </c>
      <c r="D20" s="43" t="n">
        <f aca="false">D12+D18</f>
        <v>55792889.124112</v>
      </c>
      <c r="E20" s="43" t="n">
        <f aca="false">E12+E18</f>
        <v>58126511.4195897</v>
      </c>
      <c r="F20" s="43" t="n">
        <f aca="false">F12+F18</f>
        <v>60555034.4122129</v>
      </c>
      <c r="G20" s="43" t="n">
        <f aca="false">G12+G18</f>
        <v>63082291.157263</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32" t="s">
        <v>277</v>
      </c>
      <c r="C22" s="16"/>
      <c r="D22" s="16"/>
      <c r="E22" s="16"/>
      <c r="F22" s="16"/>
      <c r="G22" s="16"/>
    </row>
    <row r="23" customFormat="false" ht="15" hidden="false" customHeight="false" outlineLevel="0" collapsed="false">
      <c r="A23" s="5"/>
      <c r="B23" s="39" t="s">
        <v>216</v>
      </c>
      <c r="C23" s="38" t="n">
        <f aca="false">OX_Labour</f>
        <v>-9750</v>
      </c>
      <c r="D23" s="38" t="n">
        <f aca="false">OX_Labour</f>
        <v>-10093.6875</v>
      </c>
      <c r="E23" s="38" t="n">
        <f aca="false">OX_Labour</f>
        <v>-10449.489984375</v>
      </c>
      <c r="F23" s="38" t="n">
        <f aca="false">OX_Labour</f>
        <v>-10817.8345063242</v>
      </c>
      <c r="G23" s="38" t="n">
        <f aca="false">OX_Labour</f>
        <v>-11199.1631726721</v>
      </c>
    </row>
    <row r="24" customFormat="false" ht="15" hidden="false" customHeight="false" outlineLevel="0" collapsed="false">
      <c r="A24" s="5"/>
      <c r="B24" s="39" t="s">
        <v>127</v>
      </c>
      <c r="C24" s="38" t="n">
        <f aca="false">OX_Maintenance</f>
        <v>-1690400.2512</v>
      </c>
      <c r="D24" s="38" t="n">
        <f aca="false">OX_Maintenance</f>
        <v>-1758511.29132336</v>
      </c>
      <c r="E24" s="38" t="n">
        <f aca="false">OX_Maintenance</f>
        <v>-1829367.20636369</v>
      </c>
      <c r="F24" s="38" t="n">
        <f aca="false">OX_Maintenance</f>
        <v>-1903078.61478015</v>
      </c>
      <c r="G24" s="38" t="n">
        <f aca="false">OX_Maintenance</f>
        <v>-1979760.59295579</v>
      </c>
    </row>
    <row r="25" customFormat="false" ht="15" hidden="false" customHeight="false" outlineLevel="0" collapsed="false">
      <c r="A25" s="5"/>
      <c r="B25" s="39" t="s">
        <v>130</v>
      </c>
      <c r="C25" s="38" t="n">
        <f aca="false">OX_IT</f>
        <v>-2253867.0016</v>
      </c>
      <c r="D25" s="38" t="n">
        <f aca="false">OX_IT</f>
        <v>-2344681.72176448</v>
      </c>
      <c r="E25" s="38" t="n">
        <f aca="false">OX_IT</f>
        <v>-2439156.27515159</v>
      </c>
      <c r="F25" s="38" t="n">
        <f aca="false">OX_IT</f>
        <v>-2537438.1530402</v>
      </c>
      <c r="G25" s="38" t="n">
        <f aca="false">OX_IT</f>
        <v>-2639680.79060772</v>
      </c>
    </row>
    <row r="26" customFormat="false" ht="15" hidden="false" customHeight="false" outlineLevel="0" collapsed="false">
      <c r="A26" s="5"/>
      <c r="B26" s="39" t="s">
        <v>132</v>
      </c>
      <c r="C26" s="38" t="n">
        <f aca="false">OX_Insurance</f>
        <v>-1690400.2512</v>
      </c>
      <c r="D26" s="38" t="n">
        <f aca="false">OX_Insurance</f>
        <v>-1758511.29132336</v>
      </c>
      <c r="E26" s="38" t="n">
        <f aca="false">OX_Insurance</f>
        <v>-1829367.20636369</v>
      </c>
      <c r="F26" s="38" t="n">
        <f aca="false">OX_Insurance</f>
        <v>-1903078.61478015</v>
      </c>
      <c r="G26" s="38" t="n">
        <f aca="false">OX_Insurance</f>
        <v>-1979760.59295579</v>
      </c>
    </row>
    <row r="27" customFormat="false" ht="15" hidden="false" customHeight="false" outlineLevel="0" collapsed="false">
      <c r="A27" s="5"/>
      <c r="B27" s="39" t="s">
        <v>134</v>
      </c>
      <c r="C27" s="38" t="n">
        <f aca="false">OX_Regulatory</f>
        <v>-1126933.5008</v>
      </c>
      <c r="D27" s="38" t="n">
        <f aca="false">OX_Regulatory</f>
        <v>-1172340.86088224</v>
      </c>
      <c r="E27" s="38" t="n">
        <f aca="false">OX_Regulatory</f>
        <v>-1219578.13757579</v>
      </c>
      <c r="F27" s="38" t="n">
        <f aca="false">OX_Regulatory</f>
        <v>-1268719.0765201</v>
      </c>
      <c r="G27" s="38" t="n">
        <f aca="false">OX_Regulatory</f>
        <v>-1319840.39530386</v>
      </c>
    </row>
    <row r="28" customFormat="false" ht="15" hidden="false" customHeight="false" outlineLevel="0" collapsed="false">
      <c r="A28" s="5"/>
      <c r="B28" s="39" t="s">
        <v>136</v>
      </c>
      <c r="C28" s="38" t="n">
        <f aca="false">OX_Bad_Debt</f>
        <v>-845200.1256</v>
      </c>
      <c r="D28" s="38" t="n">
        <f aca="false">OX_Bad_Debt</f>
        <v>-879255.64566168</v>
      </c>
      <c r="E28" s="38" t="n">
        <f aca="false">OX_Bad_Debt</f>
        <v>-914683.603181846</v>
      </c>
      <c r="F28" s="38" t="n">
        <f aca="false">OX_Bad_Debt</f>
        <v>-951539.307390074</v>
      </c>
      <c r="G28" s="38" t="n">
        <f aca="false">OX_Bad_Debt</f>
        <v>-989880.296477894</v>
      </c>
    </row>
    <row r="29" customFormat="false" ht="15" hidden="false" customHeight="false" outlineLevel="0" collapsed="false">
      <c r="A29" s="5"/>
      <c r="B29" s="40" t="s">
        <v>278</v>
      </c>
      <c r="C29" s="41" t="n">
        <f aca="false">SUM(C23:C28)</f>
        <v>-7616551.1304</v>
      </c>
      <c r="D29" s="41" t="n">
        <f aca="false">SUM(D23:D28)</f>
        <v>-7923394.49845512</v>
      </c>
      <c r="E29" s="41" t="n">
        <f aca="false">SUM(E23:E28)</f>
        <v>-8242601.91862099</v>
      </c>
      <c r="F29" s="41" t="n">
        <f aca="false">SUM(F23:F28)</f>
        <v>-8574671.60101699</v>
      </c>
      <c r="G29" s="41" t="n">
        <f aca="false">SUM(G23:G28)</f>
        <v>-8920121.83147372</v>
      </c>
    </row>
    <row r="30" customFormat="false" ht="15" hidden="false" customHeight="false" outlineLevel="0" collapsed="false">
      <c r="A30" s="5"/>
      <c r="B30" s="5"/>
      <c r="C30" s="5"/>
      <c r="D30" s="5"/>
      <c r="E30" s="5"/>
      <c r="F30" s="5"/>
      <c r="G30" s="5"/>
    </row>
    <row r="31" customFormat="false" ht="15" hidden="false" customHeight="false" outlineLevel="0" collapsed="false">
      <c r="A31" s="5"/>
      <c r="B31" s="42" t="s">
        <v>220</v>
      </c>
      <c r="C31" s="43" t="n">
        <f aca="false">C20+C29</f>
        <v>45933931.9096</v>
      </c>
      <c r="D31" s="43" t="n">
        <f aca="false">D20+D29</f>
        <v>47869494.6256569</v>
      </c>
      <c r="E31" s="43" t="n">
        <f aca="false">E20+E29</f>
        <v>49883909.5009687</v>
      </c>
      <c r="F31" s="43" t="n">
        <f aca="false">F20+F29</f>
        <v>51980362.811196</v>
      </c>
      <c r="G31" s="43" t="n">
        <f aca="false">G20+G29</f>
        <v>54162169.3257893</v>
      </c>
    </row>
    <row r="32" customFormat="false" ht="15" hidden="false" customHeight="false" outlineLevel="0" collapsed="false">
      <c r="A32" s="5"/>
      <c r="B32" s="5"/>
      <c r="C32" s="5"/>
      <c r="D32" s="5"/>
      <c r="E32" s="5"/>
      <c r="F32" s="5"/>
      <c r="G32" s="5"/>
    </row>
    <row r="33" customFormat="false" ht="15" hidden="false" customHeight="false" outlineLevel="0" collapsed="false">
      <c r="A33" s="5"/>
      <c r="B33" s="7" t="s">
        <v>14</v>
      </c>
      <c r="C33" s="38" t="n">
        <f aca="false">DEP_Total_Depr</f>
        <v>-486578.3357048</v>
      </c>
      <c r="D33" s="38" t="n">
        <f aca="false">DEP_Total_Depr</f>
        <v>-969875.855603503</v>
      </c>
      <c r="E33" s="38" t="n">
        <f aca="false">DEP_Total_Depr</f>
        <v>-1472646.94281912</v>
      </c>
      <c r="F33" s="38" t="n">
        <f aca="false">DEP_Total_Depr</f>
        <v>-1995676.38211454</v>
      </c>
      <c r="G33" s="38" t="n">
        <f aca="false">DEP_Total_Depr</f>
        <v>-2539780.58507855</v>
      </c>
    </row>
    <row r="34" customFormat="false" ht="15" hidden="false" customHeight="false" outlineLevel="0" collapsed="false">
      <c r="A34" s="5"/>
      <c r="B34" s="40" t="s">
        <v>279</v>
      </c>
      <c r="C34" s="41" t="n">
        <f aca="false">C31+C33</f>
        <v>45447353.5738952</v>
      </c>
      <c r="D34" s="41" t="n">
        <f aca="false">D31+D33</f>
        <v>46899618.7700534</v>
      </c>
      <c r="E34" s="41" t="n">
        <f aca="false">E31+E33</f>
        <v>48411262.5581496</v>
      </c>
      <c r="F34" s="41" t="n">
        <f aca="false">F31+F33</f>
        <v>49984686.4290814</v>
      </c>
      <c r="G34" s="41" t="n">
        <f aca="false">G31+G33</f>
        <v>51622388.7407108</v>
      </c>
    </row>
    <row r="35" customFormat="false" ht="15" hidden="false" customHeight="false" outlineLevel="0" collapsed="false">
      <c r="A35" s="5"/>
      <c r="B35" s="5"/>
      <c r="C35" s="5"/>
      <c r="D35" s="5"/>
      <c r="E35" s="5"/>
      <c r="F35" s="5"/>
      <c r="G35" s="5"/>
    </row>
    <row r="36" customFormat="false" ht="15" hidden="false" customHeight="false" outlineLevel="0" collapsed="false">
      <c r="A36" s="5"/>
      <c r="B36" s="7" t="s">
        <v>262</v>
      </c>
      <c r="C36" s="38" t="n">
        <f aca="false">DF_Interest</f>
        <v>-171842.05040002</v>
      </c>
      <c r="D36" s="38" t="n">
        <f aca="false">DF_Interest</f>
        <v>-483675.818139306</v>
      </c>
      <c r="E36" s="38" t="n">
        <f aca="false">DF_Interest</f>
        <v>-803500.654412612</v>
      </c>
      <c r="F36" s="38" t="n">
        <f aca="false">DF_Interest</f>
        <v>-1131707.23676645</v>
      </c>
      <c r="G36" s="38" t="n">
        <f aca="false">DF_Interest</f>
        <v>-1468700.95749018</v>
      </c>
    </row>
    <row r="37" customFormat="false" ht="15" hidden="false" customHeight="false" outlineLevel="0" collapsed="false">
      <c r="A37" s="5"/>
      <c r="B37" s="40" t="s">
        <v>280</v>
      </c>
      <c r="C37" s="41" t="n">
        <f aca="false">C34+C36</f>
        <v>45275511.5234952</v>
      </c>
      <c r="D37" s="41" t="n">
        <f aca="false">D34+D36</f>
        <v>46415942.9519141</v>
      </c>
      <c r="E37" s="41" t="n">
        <f aca="false">E34+E36</f>
        <v>47607761.903737</v>
      </c>
      <c r="F37" s="41" t="n">
        <f aca="false">F34+F36</f>
        <v>48852979.192315</v>
      </c>
      <c r="G37" s="41" t="n">
        <f aca="false">G34+G36</f>
        <v>50153687.7832206</v>
      </c>
    </row>
    <row r="38" customFormat="false" ht="15" hidden="false" customHeight="false" outlineLevel="0" collapsed="false">
      <c r="A38" s="5"/>
      <c r="B38" s="5"/>
      <c r="C38" s="5"/>
      <c r="D38" s="5"/>
      <c r="E38" s="5"/>
      <c r="F38" s="5"/>
      <c r="G38" s="5"/>
    </row>
    <row r="39" customFormat="false" ht="15" hidden="false" customHeight="false" outlineLevel="0" collapsed="false">
      <c r="A39" s="5"/>
      <c r="B39" s="7" t="s">
        <v>281</v>
      </c>
      <c r="C39" s="38" t="n">
        <f aca="false">-MAX(0,C37)*Tax_Rate</f>
        <v>-11318877.8808738</v>
      </c>
      <c r="D39" s="38" t="n">
        <f aca="false">-MAX(0,D37)*Tax_Rate</f>
        <v>-11603985.7379785</v>
      </c>
      <c r="E39" s="38" t="n">
        <f aca="false">-MAX(0,E37)*Tax_Rate</f>
        <v>-11901940.4759342</v>
      </c>
      <c r="F39" s="38" t="n">
        <f aca="false">-MAX(0,F37)*Tax_Rate</f>
        <v>-12213244.7980787</v>
      </c>
      <c r="G39" s="38" t="n">
        <f aca="false">-MAX(0,G37)*Tax_Rate</f>
        <v>-12538421.9458051</v>
      </c>
    </row>
    <row r="40" customFormat="false" ht="15" hidden="false" customHeight="false" outlineLevel="0" collapsed="false">
      <c r="A40" s="5"/>
      <c r="B40" s="42" t="s">
        <v>282</v>
      </c>
      <c r="C40" s="43" t="n">
        <f aca="false">C37+C39</f>
        <v>33956633.6426214</v>
      </c>
      <c r="D40" s="43" t="n">
        <f aca="false">D37+D39</f>
        <v>34811957.2139356</v>
      </c>
      <c r="E40" s="43" t="n">
        <f aca="false">E37+E39</f>
        <v>35705821.4278027</v>
      </c>
      <c r="F40" s="43" t="n">
        <f aca="false">F37+F39</f>
        <v>36639734.3942362</v>
      </c>
      <c r="G40" s="43" t="n">
        <f aca="false">G37+G39</f>
        <v>37615265.8374154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283</v>
      </c>
      <c r="C2" s="5"/>
      <c r="D2" s="5"/>
      <c r="E2" s="5"/>
      <c r="F2" s="5"/>
      <c r="G2" s="5"/>
    </row>
    <row r="3" customFormat="false" ht="15" hidden="false" customHeight="false" outlineLevel="0" collapsed="false">
      <c r="A3" s="5"/>
      <c r="B3" s="29" t="s">
        <v>23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284</v>
      </c>
      <c r="C8" s="16"/>
      <c r="D8" s="16"/>
      <c r="E8" s="16"/>
      <c r="F8" s="16"/>
      <c r="G8" s="16"/>
    </row>
    <row r="9" customFormat="false" ht="15" hidden="false" customHeight="false" outlineLevel="0" collapsed="false">
      <c r="A9" s="5"/>
      <c r="B9" s="39" t="s">
        <v>285</v>
      </c>
      <c r="C9" s="38" t="n">
        <f aca="false">CF_Close_Cash</f>
        <v>2303236.21350415</v>
      </c>
      <c r="D9" s="38" t="n">
        <f aca="false">CF_Close_Cash</f>
        <v>9309862.12856485</v>
      </c>
      <c r="E9" s="38" t="n">
        <f aca="false">CF_Close_Cash</f>
        <v>16827276.496337</v>
      </c>
      <c r="F9" s="38" t="n">
        <f aca="false">CF_Close_Cash</f>
        <v>24878506.6290853</v>
      </c>
      <c r="G9" s="38" t="n">
        <f aca="false">CF_Close_Cash</f>
        <v>33487475.984857</v>
      </c>
    </row>
    <row r="10" customFormat="false" ht="15" hidden="false" customHeight="false" outlineLevel="0" collapsed="false">
      <c r="A10" s="5"/>
      <c r="B10" s="39" t="s">
        <v>286</v>
      </c>
      <c r="C10" s="38" t="n">
        <f aca="false">WC_Receivables</f>
        <v>5403105.82575343</v>
      </c>
      <c r="D10" s="38" t="n">
        <f aca="false">WC_Receivables</f>
        <v>5620812.34669567</v>
      </c>
      <c r="E10" s="38" t="n">
        <f aca="false">WC_Receivables</f>
        <v>5847292.44043189</v>
      </c>
      <c r="F10" s="38" t="n">
        <f aca="false">WC_Receivables</f>
        <v>6082899.68194568</v>
      </c>
      <c r="G10" s="38" t="n">
        <f aca="false">WC_Receivables</f>
        <v>6328001.89529247</v>
      </c>
    </row>
    <row r="11" customFormat="false" ht="15" hidden="false" customHeight="false" outlineLevel="0" collapsed="false">
      <c r="A11" s="5"/>
      <c r="B11" s="39" t="s">
        <v>287</v>
      </c>
      <c r="C11" s="38" t="n">
        <f aca="false">WC_Inventory</f>
        <v>153216</v>
      </c>
      <c r="D11" s="38" t="n">
        <f aca="false">WC_Inventory</f>
        <v>154748.16</v>
      </c>
      <c r="E11" s="38" t="n">
        <f aca="false">WC_Inventory</f>
        <v>156295.6416</v>
      </c>
      <c r="F11" s="38" t="n">
        <f aca="false">WC_Inventory</f>
        <v>157858.598016</v>
      </c>
      <c r="G11" s="38" t="n">
        <f aca="false">WC_Inventory</f>
        <v>159437.18399616</v>
      </c>
    </row>
    <row r="12" customFormat="false" ht="15" hidden="false" customHeight="false" outlineLevel="0" collapsed="false">
      <c r="A12" s="5"/>
      <c r="B12" s="40" t="s">
        <v>288</v>
      </c>
      <c r="C12" s="41" t="n">
        <f aca="false">C9+C10+C11</f>
        <v>7859558.03925758</v>
      </c>
      <c r="D12" s="41" t="n">
        <f aca="false">D9+D10+D11</f>
        <v>15085422.6352605</v>
      </c>
      <c r="E12" s="41" t="n">
        <f aca="false">E9+E10+E11</f>
        <v>22830864.5783689</v>
      </c>
      <c r="F12" s="41" t="n">
        <f aca="false">F9+F10+F11</f>
        <v>31119264.909047</v>
      </c>
      <c r="G12" s="41" t="n">
        <f aca="false">G9+G10+G11</f>
        <v>39974915.0641457</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46" t="s">
        <v>244</v>
      </c>
      <c r="C14" s="47" t="n">
        <f aca="false">DEP_Net_PPE</f>
        <v>9592356.4210952</v>
      </c>
      <c r="D14" s="47" t="n">
        <f aca="false">DEP_Net_PPE</f>
        <v>18587377.8829907</v>
      </c>
      <c r="E14" s="47" t="n">
        <f aca="false">DEP_Net_PPE</f>
        <v>27481145.1095659</v>
      </c>
      <c r="F14" s="47" t="n">
        <f aca="false">DEP_Net_PPE</f>
        <v>36269580.8778722</v>
      </c>
      <c r="G14" s="47" t="n">
        <f aca="false">DEP_Net_PPE</f>
        <v>44948443.6528764</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42" t="s">
        <v>289</v>
      </c>
      <c r="C16" s="43" t="n">
        <f aca="false">C12+C14</f>
        <v>17451914.4603528</v>
      </c>
      <c r="D16" s="43" t="n">
        <f aca="false">D12+D14</f>
        <v>33672800.5182513</v>
      </c>
      <c r="E16" s="43" t="n">
        <f aca="false">E12+E14</f>
        <v>50312009.6879348</v>
      </c>
      <c r="F16" s="43" t="n">
        <f aca="false">F12+F14</f>
        <v>67388845.7869192</v>
      </c>
      <c r="G16" s="43" t="n">
        <f aca="false">G12+G14</f>
        <v>84923358.7170221</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290</v>
      </c>
      <c r="C18" s="16"/>
      <c r="D18" s="16"/>
      <c r="E18" s="16"/>
      <c r="F18" s="16"/>
      <c r="G18" s="16"/>
    </row>
    <row r="19" customFormat="false" ht="15" hidden="false" customHeight="false" outlineLevel="0" collapsed="false">
      <c r="A19" s="5"/>
      <c r="B19" s="39" t="s">
        <v>291</v>
      </c>
      <c r="C19" s="38" t="n">
        <f aca="false">WC_Payables</f>
        <v>1141122.53483836</v>
      </c>
      <c r="D19" s="38" t="n">
        <f aca="false">WC_Payables</f>
        <v>1177813.52531015</v>
      </c>
      <c r="E19" s="38" t="n">
        <f aca="false">WC_Payables</f>
        <v>1215890.12359682</v>
      </c>
      <c r="F19" s="38" t="n">
        <f aca="false">WC_Payables</f>
        <v>1255407.23449962</v>
      </c>
      <c r="G19" s="38" t="n">
        <f aca="false">WC_Payables</f>
        <v>1296421.96596204</v>
      </c>
    </row>
    <row r="20" customFormat="false" ht="15" hidden="false" customHeight="false" outlineLevel="0" collapsed="false">
      <c r="A20" s="5"/>
      <c r="B20" s="40" t="s">
        <v>292</v>
      </c>
      <c r="C20" s="41" t="n">
        <f aca="false">C19</f>
        <v>1141122.53483836</v>
      </c>
      <c r="D20" s="41" t="n">
        <f aca="false">D19</f>
        <v>1177813.52531015</v>
      </c>
      <c r="E20" s="41" t="n">
        <f aca="false">E19</f>
        <v>1215890.12359682</v>
      </c>
      <c r="F20" s="41" t="n">
        <f aca="false">F19</f>
        <v>1255407.23449962</v>
      </c>
      <c r="G20" s="41" t="n">
        <f aca="false">G19</f>
        <v>1296421.96596204</v>
      </c>
    </row>
    <row r="21" customFormat="false" ht="15" hidden="false" customHeight="false" outlineLevel="0" collapsed="false">
      <c r="A21" s="5"/>
      <c r="B21" s="5"/>
      <c r="C21" s="5"/>
      <c r="D21" s="5"/>
      <c r="E21" s="5"/>
      <c r="F21" s="5"/>
      <c r="G21" s="5"/>
    </row>
    <row r="22" customFormat="false" ht="15" hidden="false" customHeight="false" outlineLevel="0" collapsed="false">
      <c r="A22" s="5"/>
      <c r="B22" s="46" t="s">
        <v>293</v>
      </c>
      <c r="C22" s="47" t="n">
        <f aca="false">DF_Close_Debt</f>
        <v>5923801.832728</v>
      </c>
      <c r="D22" s="47" t="n">
        <f aca="false">DF_Close_Debt</f>
        <v>11664409.735974</v>
      </c>
      <c r="E22" s="47" t="n">
        <f aca="false">DF_Close_Debt</f>
        <v>17553795.8790301</v>
      </c>
      <c r="F22" s="47" t="n">
        <f aca="false">DF_Close_Debt</f>
        <v>23599194.5488408</v>
      </c>
      <c r="G22" s="47" t="n">
        <f aca="false">DF_Close_Debt</f>
        <v>29808112.9962566</v>
      </c>
    </row>
    <row r="23" customFormat="false" ht="15" hidden="false" customHeight="false" outlineLevel="0" collapsed="false">
      <c r="A23" s="5"/>
      <c r="B23" s="40" t="s">
        <v>294</v>
      </c>
      <c r="C23" s="41" t="n">
        <f aca="false">C20+C22</f>
        <v>7064924.36756636</v>
      </c>
      <c r="D23" s="41" t="n">
        <f aca="false">D20+D22</f>
        <v>12842223.2612842</v>
      </c>
      <c r="E23" s="41" t="n">
        <f aca="false">E20+E22</f>
        <v>18769686.0026269</v>
      </c>
      <c r="F23" s="41" t="n">
        <f aca="false">F20+F22</f>
        <v>24854601.7833404</v>
      </c>
      <c r="G23" s="41" t="n">
        <f aca="false">G20+G22</f>
        <v>31104534.9622186</v>
      </c>
    </row>
    <row r="24" customFormat="false" ht="15" hidden="false" customHeight="false" outlineLevel="0" collapsed="false">
      <c r="A24" s="5"/>
      <c r="B24" s="5"/>
      <c r="C24" s="5"/>
      <c r="D24" s="5"/>
      <c r="E24" s="5"/>
      <c r="F24" s="5"/>
      <c r="G24" s="5"/>
    </row>
    <row r="25" customFormat="false" ht="15" hidden="false" customHeight="false" outlineLevel="0" collapsed="false">
      <c r="A25" s="5"/>
      <c r="B25" s="32" t="s">
        <v>295</v>
      </c>
      <c r="C25" s="16"/>
      <c r="D25" s="16"/>
      <c r="E25" s="16"/>
      <c r="F25" s="16"/>
      <c r="G25" s="16"/>
    </row>
    <row r="26" customFormat="false" ht="15" hidden="false" customHeight="false" outlineLevel="0" collapsed="false">
      <c r="A26" s="5"/>
      <c r="B26" s="39" t="s">
        <v>296</v>
      </c>
      <c r="C26" s="38" t="n">
        <f aca="false">(Open_Gross_Pipe+Open_Gross_Plant+Open_Gross_Equip+Open_Gross_IT-Open_Accum_Depr+Opening_Cash)-Debt_RAB_Target*Opening_RAB</f>
        <v>200000</v>
      </c>
      <c r="D26" s="38" t="n">
        <f aca="false">(Open_Gross_Pipe+Open_Gross_Plant+Open_Gross_Equip+Open_Gross_IT-Open_Accum_Depr+Opening_Cash)-Debt_RAB_Target*Opening_RAB</f>
        <v>200000</v>
      </c>
      <c r="E26" s="38" t="n">
        <f aca="false">(Open_Gross_Pipe+Open_Gross_Plant+Open_Gross_Equip+Open_Gross_IT-Open_Accum_Depr+Opening_Cash)-Debt_RAB_Target*Opening_RAB</f>
        <v>200000</v>
      </c>
      <c r="F26" s="38" t="n">
        <f aca="false">(Open_Gross_Pipe+Open_Gross_Plant+Open_Gross_Equip+Open_Gross_IT-Open_Accum_Depr+Opening_Cash)-Debt_RAB_Target*Opening_RAB</f>
        <v>200000</v>
      </c>
      <c r="G26" s="38" t="n">
        <f aca="false">(Open_Gross_Pipe+Open_Gross_Plant+Open_Gross_Equip+Open_Gross_IT-Open_Accum_Depr+Opening_Cash)-Debt_RAB_Target*Opening_RAB</f>
        <v>200000</v>
      </c>
    </row>
    <row r="27" customFormat="false" ht="15" hidden="false" customHeight="false" outlineLevel="0" collapsed="false">
      <c r="A27" s="5"/>
      <c r="B27" s="39" t="s">
        <v>297</v>
      </c>
      <c r="C27" s="38" t="n">
        <f aca="false">IS_Net_Income+DF_Dividends</f>
        <v>10186990.0927864</v>
      </c>
      <c r="D27" s="38" t="n">
        <f aca="false">C27+IS_Net_Income+DF_Dividends</f>
        <v>20630577.2569671</v>
      </c>
      <c r="E27" s="38" t="n">
        <f aca="false">D27+IS_Net_Income+DF_Dividends</f>
        <v>31342323.6853079</v>
      </c>
      <c r="F27" s="38" t="n">
        <f aca="false">E27+IS_Net_Income+DF_Dividends</f>
        <v>42334244.0035788</v>
      </c>
      <c r="G27" s="38" t="n">
        <f aca="false">F27+IS_Net_Income+DF_Dividends</f>
        <v>53618823.7548034</v>
      </c>
    </row>
    <row r="28" customFormat="false" ht="15" hidden="false" customHeight="false" outlineLevel="0" collapsed="false">
      <c r="A28" s="5"/>
      <c r="B28" s="40" t="s">
        <v>298</v>
      </c>
      <c r="C28" s="41" t="n">
        <f aca="false">C26+C27</f>
        <v>10386990.0927864</v>
      </c>
      <c r="D28" s="41" t="n">
        <f aca="false">D26+D27</f>
        <v>20830577.2569671</v>
      </c>
      <c r="E28" s="41" t="n">
        <f aca="false">E26+E27</f>
        <v>31542323.6853079</v>
      </c>
      <c r="F28" s="41" t="n">
        <f aca="false">F26+F27</f>
        <v>42534244.0035788</v>
      </c>
      <c r="G28" s="41" t="n">
        <f aca="false">G26+G27</f>
        <v>53818823.7548034</v>
      </c>
    </row>
    <row r="29" customFormat="false" ht="15" hidden="false" customHeight="false" outlineLevel="0" collapsed="false">
      <c r="A29" s="5"/>
      <c r="B29" s="5"/>
      <c r="C29" s="5"/>
      <c r="D29" s="5"/>
      <c r="E29" s="5"/>
      <c r="F29" s="5"/>
      <c r="G29" s="5"/>
    </row>
    <row r="30" customFormat="false" ht="15" hidden="false" customHeight="false" outlineLevel="0" collapsed="false">
      <c r="A30" s="5"/>
      <c r="B30" s="42" t="s">
        <v>299</v>
      </c>
      <c r="C30" s="43" t="n">
        <f aca="false">C23+C28</f>
        <v>17451914.4603528</v>
      </c>
      <c r="D30" s="43" t="n">
        <f aca="false">D23+D28</f>
        <v>33672800.5182513</v>
      </c>
      <c r="E30" s="43" t="n">
        <f aca="false">E23+E28</f>
        <v>50312009.6879348</v>
      </c>
      <c r="F30" s="43" t="n">
        <f aca="false">F23+F28</f>
        <v>67388845.7869192</v>
      </c>
      <c r="G30" s="43" t="n">
        <f aca="false">G23+G28</f>
        <v>84923358.7170221</v>
      </c>
    </row>
    <row r="31" customFormat="false" ht="15" hidden="false" customHeight="false" outlineLevel="0" collapsed="false">
      <c r="A31" s="5"/>
      <c r="B31" s="5"/>
      <c r="C31" s="5"/>
      <c r="D31" s="5"/>
      <c r="E31" s="5"/>
      <c r="F31" s="5"/>
      <c r="G31" s="5"/>
    </row>
    <row r="32" customFormat="false" ht="15" hidden="false" customHeight="false" outlineLevel="0" collapsed="false">
      <c r="A32" s="5"/>
      <c r="B32" s="46" t="s">
        <v>300</v>
      </c>
      <c r="C32" s="47" t="n">
        <f aca="false">C16-C30</f>
        <v>0</v>
      </c>
      <c r="D32" s="47" t="n">
        <f aca="false">D16-D30</f>
        <v>0</v>
      </c>
      <c r="E32" s="47" t="n">
        <f aca="false">E16-E30</f>
        <v>0</v>
      </c>
      <c r="F32" s="47" t="n">
        <f aca="false">F16-F30</f>
        <v>0</v>
      </c>
      <c r="G32" s="47" t="n">
        <f aca="false">G16-G30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301</v>
      </c>
      <c r="C2" s="5"/>
      <c r="D2" s="5"/>
      <c r="E2" s="5"/>
      <c r="F2" s="5"/>
      <c r="G2" s="5"/>
    </row>
    <row r="3" customFormat="false" ht="15" hidden="false" customHeight="false" outlineLevel="0" collapsed="false">
      <c r="A3" s="5"/>
      <c r="B3" s="29" t="s">
        <v>302</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303</v>
      </c>
      <c r="C8" s="16"/>
      <c r="D8" s="16"/>
      <c r="E8" s="16"/>
      <c r="F8" s="16"/>
      <c r="G8" s="16"/>
    </row>
    <row r="9" customFormat="false" ht="15" hidden="false" customHeight="false" outlineLevel="0" collapsed="false">
      <c r="A9" s="5"/>
      <c r="B9" s="39" t="s">
        <v>304</v>
      </c>
      <c r="C9" s="38" t="n">
        <f aca="false">IS_Net_Income</f>
        <v>33956633.6426214</v>
      </c>
      <c r="D9" s="38" t="n">
        <f aca="false">IS_Net_Income</f>
        <v>34811957.2139356</v>
      </c>
      <c r="E9" s="38" t="n">
        <f aca="false">IS_Net_Income</f>
        <v>35705821.4278027</v>
      </c>
      <c r="F9" s="38" t="n">
        <f aca="false">IS_Net_Income</f>
        <v>36639734.3942362</v>
      </c>
      <c r="G9" s="38" t="n">
        <f aca="false">IS_Net_Income</f>
        <v>37615265.8374154</v>
      </c>
    </row>
    <row r="10" customFormat="false" ht="15" hidden="false" customHeight="false" outlineLevel="0" collapsed="false">
      <c r="A10" s="5"/>
      <c r="B10" s="39" t="s">
        <v>305</v>
      </c>
      <c r="C10" s="38" t="n">
        <f aca="false">-IS_DA</f>
        <v>486578.3357048</v>
      </c>
      <c r="D10" s="38" t="n">
        <f aca="false">-IS_DA</f>
        <v>969875.855603503</v>
      </c>
      <c r="E10" s="38" t="n">
        <f aca="false">-IS_DA</f>
        <v>1472646.94281912</v>
      </c>
      <c r="F10" s="38" t="n">
        <f aca="false">-IS_DA</f>
        <v>1995676.38211454</v>
      </c>
      <c r="G10" s="38" t="n">
        <f aca="false">-IS_DA</f>
        <v>2539780.58507855</v>
      </c>
    </row>
    <row r="11" customFormat="false" ht="15" hidden="false" customHeight="false" outlineLevel="0" collapsed="false">
      <c r="A11" s="5"/>
      <c r="B11" s="39" t="s">
        <v>253</v>
      </c>
      <c r="C11" s="38" t="n">
        <f aca="false">WC_Change</f>
        <v>-4415199.29091507</v>
      </c>
      <c r="D11" s="38" t="n">
        <f aca="false">WC_Change</f>
        <v>-182547.690470452</v>
      </c>
      <c r="E11" s="38" t="n">
        <f aca="false">WC_Change</f>
        <v>-189950.977049549</v>
      </c>
      <c r="F11" s="38" t="n">
        <f aca="false">WC_Change</f>
        <v>-197653.087026995</v>
      </c>
      <c r="G11" s="38" t="n">
        <f aca="false">WC_Change</f>
        <v>-205666.067864526</v>
      </c>
    </row>
    <row r="12" customFormat="false" ht="15" hidden="false" customHeight="false" outlineLevel="0" collapsed="false">
      <c r="A12" s="5"/>
      <c r="B12" s="40" t="s">
        <v>306</v>
      </c>
      <c r="C12" s="41" t="n">
        <f aca="false">C9+C10+C11</f>
        <v>30028012.6874111</v>
      </c>
      <c r="D12" s="41" t="n">
        <f aca="false">D9+D10+D11</f>
        <v>35599285.3790686</v>
      </c>
      <c r="E12" s="41" t="n">
        <f aca="false">E9+E10+E11</f>
        <v>36988517.3935723</v>
      </c>
      <c r="F12" s="41" t="n">
        <f aca="false">F9+F10+F11</f>
        <v>38437757.6893238</v>
      </c>
      <c r="G12" s="41" t="n">
        <f aca="false">G9+G10+G11</f>
        <v>39949380.3546295</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307</v>
      </c>
      <c r="C14" s="16"/>
      <c r="D14" s="16"/>
      <c r="E14" s="16"/>
      <c r="F14" s="16"/>
      <c r="G14" s="16"/>
    </row>
    <row r="15" customFormat="false" ht="15" hidden="false" customHeight="false" outlineLevel="0" collapsed="false">
      <c r="A15" s="5"/>
      <c r="B15" s="39" t="s">
        <v>138</v>
      </c>
      <c r="C15" s="38" t="n">
        <f aca="false">-CR_Total_Capex</f>
        <v>-9578934.7568</v>
      </c>
      <c r="D15" s="38" t="n">
        <f aca="false">-CR_Total_Capex</f>
        <v>-9964897.31749904</v>
      </c>
      <c r="E15" s="38" t="n">
        <f aca="false">-CR_Total_Capex</f>
        <v>-10366414.1693943</v>
      </c>
      <c r="F15" s="38" t="n">
        <f aca="false">-CR_Total_Capex</f>
        <v>-10784112.1504208</v>
      </c>
      <c r="G15" s="38" t="n">
        <f aca="false">-CR_Total_Capex</f>
        <v>-11218643.3600828</v>
      </c>
    </row>
    <row r="16" customFormat="false" ht="15" hidden="false" customHeight="false" outlineLevel="0" collapsed="false">
      <c r="A16" s="5"/>
      <c r="B16" s="40" t="s">
        <v>308</v>
      </c>
      <c r="C16" s="41" t="n">
        <f aca="false">C15</f>
        <v>-9578934.7568</v>
      </c>
      <c r="D16" s="41" t="n">
        <f aca="false">D15</f>
        <v>-9964897.31749904</v>
      </c>
      <c r="E16" s="41" t="n">
        <f aca="false">E15</f>
        <v>-10366414.1693943</v>
      </c>
      <c r="F16" s="41" t="n">
        <f aca="false">F15</f>
        <v>-10784112.1504208</v>
      </c>
      <c r="G16" s="41" t="n">
        <f aca="false">G15</f>
        <v>-11218643.3600828</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309</v>
      </c>
      <c r="C18" s="16"/>
      <c r="D18" s="16"/>
      <c r="E18" s="16"/>
      <c r="F18" s="16"/>
      <c r="G18" s="16"/>
    </row>
    <row r="19" customFormat="false" ht="15" hidden="false" customHeight="false" outlineLevel="0" collapsed="false">
      <c r="A19" s="5"/>
      <c r="B19" s="39" t="s">
        <v>310</v>
      </c>
      <c r="C19" s="38" t="n">
        <f aca="false">DF_Drawdown</f>
        <v>5598801.832728</v>
      </c>
      <c r="D19" s="38" t="n">
        <f aca="false">DF_Drawdown</f>
        <v>5740607.90324602</v>
      </c>
      <c r="E19" s="38" t="n">
        <f aca="false">DF_Drawdown</f>
        <v>5889386.14305603</v>
      </c>
      <c r="F19" s="38" t="n">
        <f aca="false">DF_Drawdown</f>
        <v>6045398.66981074</v>
      </c>
      <c r="G19" s="38" t="n">
        <f aca="false">DF_Drawdown</f>
        <v>6208918.44741582</v>
      </c>
    </row>
    <row r="20" customFormat="false" ht="15" hidden="false" customHeight="false" outlineLevel="0" collapsed="false">
      <c r="A20" s="5"/>
      <c r="B20" s="39" t="s">
        <v>311</v>
      </c>
      <c r="C20" s="38" t="n">
        <f aca="false">DF_Repayment</f>
        <v>0</v>
      </c>
      <c r="D20" s="38" t="n">
        <f aca="false">DF_Repayment</f>
        <v>0</v>
      </c>
      <c r="E20" s="38" t="n">
        <f aca="false">DF_Repayment</f>
        <v>0</v>
      </c>
      <c r="F20" s="38" t="n">
        <f aca="false">DF_Repayment</f>
        <v>0</v>
      </c>
      <c r="G20" s="38" t="n">
        <f aca="false">DF_Repayment</f>
        <v>0</v>
      </c>
    </row>
    <row r="21" customFormat="false" ht="15" hidden="false" customHeight="false" outlineLevel="0" collapsed="false">
      <c r="A21" s="5"/>
      <c r="B21" s="39" t="s">
        <v>312</v>
      </c>
      <c r="C21" s="38" t="n">
        <f aca="false">0</f>
        <v>0</v>
      </c>
      <c r="D21" s="38" t="n">
        <f aca="false">0</f>
        <v>0</v>
      </c>
      <c r="E21" s="38" t="n">
        <f aca="false">0</f>
        <v>0</v>
      </c>
      <c r="F21" s="38" t="n">
        <f aca="false">0</f>
        <v>0</v>
      </c>
      <c r="G21" s="38" t="n">
        <f aca="false">0</f>
        <v>0</v>
      </c>
    </row>
    <row r="22" customFormat="false" ht="15" hidden="false" customHeight="false" outlineLevel="0" collapsed="false">
      <c r="A22" s="5"/>
      <c r="B22" s="39" t="s">
        <v>188</v>
      </c>
      <c r="C22" s="38" t="n">
        <f aca="false">DF_Dividends</f>
        <v>-23769643.549835</v>
      </c>
      <c r="D22" s="38" t="n">
        <f aca="false">DF_Dividends</f>
        <v>-24368370.0497549</v>
      </c>
      <c r="E22" s="38" t="n">
        <f aca="false">DF_Dividends</f>
        <v>-24994074.9994619</v>
      </c>
      <c r="F22" s="38" t="n">
        <f aca="false">DF_Dividends</f>
        <v>-25647814.0759654</v>
      </c>
      <c r="G22" s="38" t="n">
        <f aca="false">DF_Dividends</f>
        <v>-26330686.0861908</v>
      </c>
    </row>
    <row r="23" customFormat="false" ht="15" hidden="false" customHeight="false" outlineLevel="0" collapsed="false">
      <c r="A23" s="5"/>
      <c r="B23" s="5"/>
      <c r="C23" s="5"/>
      <c r="D23" s="5"/>
      <c r="E23" s="5"/>
      <c r="F23" s="5"/>
      <c r="G23" s="5"/>
    </row>
    <row r="24" customFormat="false" ht="15" hidden="false" customHeight="false" outlineLevel="0" collapsed="false">
      <c r="A24" s="5"/>
      <c r="B24" s="40" t="s">
        <v>313</v>
      </c>
      <c r="C24" s="41" t="n">
        <f aca="false">C19+C20+C21+C22</f>
        <v>-18170841.717107</v>
      </c>
      <c r="D24" s="41" t="n">
        <f aca="false">D19+D20+D21+D22</f>
        <v>-18627762.1465089</v>
      </c>
      <c r="E24" s="41" t="n">
        <f aca="false">E19+E20+E21+E22</f>
        <v>-19104688.8564059</v>
      </c>
      <c r="F24" s="41" t="n">
        <f aca="false">F19+F20+F21+F22</f>
        <v>-19602415.4061546</v>
      </c>
      <c r="G24" s="41" t="n">
        <f aca="false">G19+G20+G21+G22</f>
        <v>-20121767.638775</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42" t="s">
        <v>314</v>
      </c>
      <c r="C26" s="43" t="n">
        <f aca="false">C12+C16+C24</f>
        <v>2278236.21350415</v>
      </c>
      <c r="D26" s="43" t="n">
        <f aca="false">D12+D16+D24</f>
        <v>7006625.9150607</v>
      </c>
      <c r="E26" s="43" t="n">
        <f aca="false">E12+E16+E24</f>
        <v>7517414.36777217</v>
      </c>
      <c r="F26" s="43" t="n">
        <f aca="false">F12+F16+F24</f>
        <v>8051230.13274831</v>
      </c>
      <c r="G26" s="43" t="n">
        <f aca="false">G12+G16+G24</f>
        <v>8608969.35577168</v>
      </c>
    </row>
    <row r="27" customFormat="false" ht="15" hidden="false" customHeight="false" outlineLevel="0" collapsed="false">
      <c r="A27" s="5"/>
      <c r="B27" s="7" t="s">
        <v>171</v>
      </c>
      <c r="C27" s="38" t="n">
        <f aca="false">Opening_Cash</f>
        <v>25000</v>
      </c>
      <c r="D27" s="38" t="n">
        <f aca="false">C28</f>
        <v>2303236.21350415</v>
      </c>
      <c r="E27" s="38" t="n">
        <f aca="false">D28</f>
        <v>9309862.12856485</v>
      </c>
      <c r="F27" s="38" t="n">
        <f aca="false">E28</f>
        <v>16827276.496337</v>
      </c>
      <c r="G27" s="38" t="n">
        <f aca="false">F28</f>
        <v>24878506.6290853</v>
      </c>
    </row>
    <row r="28" customFormat="false" ht="15" hidden="false" customHeight="false" outlineLevel="0" collapsed="false">
      <c r="A28" s="5"/>
      <c r="B28" s="40" t="s">
        <v>315</v>
      </c>
      <c r="C28" s="41" t="n">
        <f aca="false">C27+C26</f>
        <v>2303236.21350415</v>
      </c>
      <c r="D28" s="41" t="n">
        <f aca="false">D27+D26</f>
        <v>9309862.12856485</v>
      </c>
      <c r="E28" s="41" t="n">
        <f aca="false">E27+E26</f>
        <v>16827276.496337</v>
      </c>
      <c r="F28" s="41" t="n">
        <f aca="false">F27+F26</f>
        <v>24878506.6290853</v>
      </c>
      <c r="G28" s="41" t="n">
        <f aca="false">G27+G26</f>
        <v>33487475.984857</v>
      </c>
    </row>
    <row r="29" customFormat="false" ht="15" hidden="false" customHeight="false" outlineLevel="0" collapsed="false">
      <c r="A29" s="5"/>
      <c r="B29" s="5"/>
      <c r="C29" s="5"/>
      <c r="D29" s="5"/>
      <c r="E29" s="5"/>
      <c r="F29" s="5"/>
      <c r="G29" s="5"/>
    </row>
    <row r="30" customFormat="false" ht="15" hidden="false" customHeight="false" outlineLevel="0" collapsed="false">
      <c r="A30" s="5"/>
      <c r="B30" s="46" t="s">
        <v>316</v>
      </c>
      <c r="C30" s="47" t="n">
        <f aca="false">C27+C12+C16+C24-C28</f>
        <v>0</v>
      </c>
      <c r="D30" s="47" t="n">
        <f aca="false">D27+D12+D16+D24-D28</f>
        <v>0</v>
      </c>
      <c r="E30" s="47" t="n">
        <f aca="false">E27+E12+E16+E24-E28</f>
        <v>0</v>
      </c>
      <c r="F30" s="47" t="n">
        <f aca="false">F27+F12+F16+F24-F28</f>
        <v>0</v>
      </c>
      <c r="G30" s="47" t="n">
        <f aca="false">G27+G12+G16+G24-G28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317</v>
      </c>
      <c r="C2" s="5"/>
      <c r="D2" s="5"/>
      <c r="E2" s="5"/>
      <c r="F2" s="5"/>
      <c r="G2" s="5"/>
    </row>
    <row r="3" customFormat="false" ht="15" hidden="false" customHeight="false" outlineLevel="0" collapsed="false">
      <c r="A3" s="5"/>
      <c r="B3" s="29" t="s">
        <v>27</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318</v>
      </c>
      <c r="C8" s="16"/>
      <c r="D8" s="16"/>
      <c r="E8" s="16"/>
      <c r="F8" s="16"/>
      <c r="G8" s="16"/>
    </row>
    <row r="9" customFormat="false" ht="15" hidden="false" customHeight="false" outlineLevel="0" collapsed="false">
      <c r="A9" s="5"/>
      <c r="B9" s="39" t="s">
        <v>221</v>
      </c>
      <c r="C9" s="44" t="n">
        <f aca="false">IF(IS_Total_Rev=0,0,IS_EBITDA/IS_Total_Rev)</f>
        <v>0.815202172568158</v>
      </c>
      <c r="D9" s="44" t="n">
        <f aca="false">IF(IS_Total_Rev=0,0,IS_EBITDA/IS_Total_Rev)</f>
        <v>0.816648062401116</v>
      </c>
      <c r="E9" s="44" t="n">
        <f aca="false">IF(IS_Total_Rev=0,0,IS_EBITDA/IS_Total_Rev)</f>
        <v>0.818051881450171</v>
      </c>
      <c r="F9" s="44" t="n">
        <f aca="false">IF(IS_Total_Rev=0,0,IS_EBITDA/IS_Total_Rev)</f>
        <v>0.819414853503584</v>
      </c>
      <c r="G9" s="44" t="n">
        <f aca="false">IF(IS_Total_Rev=0,0,IS_EBITDA/IS_Total_Rev)</f>
        <v>0.820738166804174</v>
      </c>
    </row>
    <row r="10" customFormat="false" ht="15" hidden="false" customHeight="false" outlineLevel="0" collapsed="false">
      <c r="A10" s="5"/>
      <c r="B10" s="39" t="s">
        <v>319</v>
      </c>
      <c r="C10" s="44" t="n">
        <f aca="false">IF(IS_Total_Rev=0,0,IS_EBIT/IS_Total_Rev)</f>
        <v>0.806566732493666</v>
      </c>
      <c r="D10" s="44" t="n">
        <f aca="false">IF(IS_Total_Rev=0,0,IS_EBIT/IS_Total_Rev)</f>
        <v>0.800102092061506</v>
      </c>
      <c r="E10" s="44" t="n">
        <f aca="false">IF(IS_Total_Rev=0,0,IS_EBIT/IS_Total_Rev)</f>
        <v>0.793901777451975</v>
      </c>
      <c r="F10" s="44" t="n">
        <f aca="false">IF(IS_Total_Rev=0,0,IS_EBIT/IS_Total_Rev)</f>
        <v>0.787955148687158</v>
      </c>
      <c r="G10" s="44" t="n">
        <f aca="false">IF(IS_Total_Rev=0,0,IS_EBIT/IS_Total_Rev)</f>
        <v>0.782251989322179</v>
      </c>
    </row>
    <row r="11" customFormat="false" ht="15" hidden="false" customHeight="false" outlineLevel="0" collapsed="false">
      <c r="A11" s="5"/>
      <c r="B11" s="39" t="s">
        <v>320</v>
      </c>
      <c r="C11" s="44" t="n">
        <f aca="false">IF(IS_Total_Rev=0,0,IS_Net_Income/IS_Total_Rev)</f>
        <v>0.602637753133009</v>
      </c>
      <c r="D11" s="44" t="n">
        <f aca="false">IF(IS_Total_Rev=0,0,IS_Net_Income/IS_Total_Rev)</f>
        <v>0.593887978752834</v>
      </c>
      <c r="E11" s="44" t="n">
        <f aca="false">IF(IS_Total_Rev=0,0,IS_Net_Income/IS_Total_Rev)</f>
        <v>0.585543809415552</v>
      </c>
      <c r="F11" s="44" t="n">
        <f aca="false">IF(IS_Total_Rev=0,0,IS_Net_Income/IS_Total_Rev)</f>
        <v>0.577586245407981</v>
      </c>
      <c r="G11" s="44" t="n">
        <f aca="false">IF(IS_Total_Rev=0,0,IS_Net_Income/IS_Total_Rev)</f>
        <v>0.569997190133819</v>
      </c>
    </row>
    <row r="12" customFormat="false" ht="15" hidden="false" customHeight="false" outlineLevel="0" collapsed="false">
      <c r="A12" s="5"/>
      <c r="B12" s="39" t="s">
        <v>266</v>
      </c>
      <c r="C12" s="44" t="n">
        <f aca="false">IF(CR_RAB_Close=0,0,DF_Close_Debt/CR_RAB_Close)</f>
        <v>0.65</v>
      </c>
      <c r="D12" s="44" t="n">
        <f aca="false">IF(CR_RAB_Close=0,0,DF_Close_Debt/CR_RAB_Close)</f>
        <v>0.65</v>
      </c>
      <c r="E12" s="44" t="n">
        <f aca="false">IF(CR_RAB_Close=0,0,DF_Close_Debt/CR_RAB_Close)</f>
        <v>0.65</v>
      </c>
      <c r="F12" s="44" t="n">
        <f aca="false">IF(CR_RAB_Close=0,0,DF_Close_Debt/CR_RAB_Close)</f>
        <v>0.65</v>
      </c>
      <c r="G12" s="44" t="n">
        <f aca="false">IF(CR_RAB_Close=0,0,DF_Close_Debt/CR_RAB_Close)</f>
        <v>0.65</v>
      </c>
    </row>
    <row r="13" customFormat="false" ht="15" hidden="false" customHeight="false" outlineLevel="0" collapsed="false">
      <c r="A13" s="5"/>
      <c r="B13" s="39" t="s">
        <v>267</v>
      </c>
      <c r="C13" s="48" t="n">
        <f aca="false">IF(DF_Interest=0,0,OX_EBITDA/-DF_Interest)</f>
        <v>267.303211307555</v>
      </c>
      <c r="D13" s="48" t="n">
        <f aca="false">IF(DF_Interest=0,0,OX_EBITDA/-DF_Interest)</f>
        <v>98.9702044849176</v>
      </c>
      <c r="E13" s="48" t="n">
        <f aca="false">IF(DF_Interest=0,0,OX_EBITDA/-DF_Interest)</f>
        <v>62.0832219949288</v>
      </c>
      <c r="F13" s="48" t="n">
        <f aca="false">IF(DF_Interest=0,0,OX_EBITDA/-DF_Interest)</f>
        <v>45.930927295045</v>
      </c>
      <c r="G13" s="48" t="n">
        <f aca="false">IF(DF_Interest=0,0,OX_EBITDA/-DF_Interest)</f>
        <v>36.8776019717081</v>
      </c>
    </row>
    <row r="14" customFormat="false" ht="15" hidden="false" customHeight="false" outlineLevel="0" collapsed="false">
      <c r="A14" s="5"/>
      <c r="B14" s="39" t="s">
        <v>321</v>
      </c>
      <c r="C14" s="44" t="n">
        <f aca="false">IF(BS_Total_Equity&lt;=0,"N/A",IS_Net_Income/BS_Total_Equity)</f>
        <v>3.26915047952185</v>
      </c>
      <c r="D14" s="44" t="n">
        <f aca="false">IF(BS_Total_Equity&lt;=0,"N/A",IS_Net_Income/BS_Total_Equity)</f>
        <v>1.67119503144313</v>
      </c>
      <c r="E14" s="44" t="n">
        <f aca="false">IF(BS_Total_Equity&lt;=0,"N/A",IS_Net_Income/BS_Total_Equity)</f>
        <v>1.13199717890265</v>
      </c>
      <c r="F14" s="44" t="n">
        <f aca="false">IF(BS_Total_Equity&lt;=0,"N/A",IS_Net_Income/BS_Total_Equity)</f>
        <v>0.861417318035638</v>
      </c>
      <c r="G14" s="44" t="n">
        <f aca="false">IF(BS_Total_Equity&lt;=0,"N/A",IS_Net_Income/BS_Total_Equity)</f>
        <v>0.698923967732725</v>
      </c>
    </row>
    <row r="15" customFormat="false" ht="15" hidden="false" customHeight="false" outlineLevel="0" collapsed="false">
      <c r="A15" s="5"/>
      <c r="B15" s="39" t="s">
        <v>322</v>
      </c>
      <c r="C15" s="44" t="n">
        <f aca="false">IF(IS_Total_Rev=0,0,(CF_CFO+CF_CFI)/IS_Total_Rev)</f>
        <v>0.362915432296484</v>
      </c>
      <c r="D15" s="44" t="n">
        <f aca="false">IF(IS_Total_Rev=0,0,(CF_CFO+CF_CFI)/IS_Total_Rev)</f>
        <v>0.437319706527648</v>
      </c>
      <c r="E15" s="44" t="n">
        <f aca="false">IF(IS_Total_Rev=0,0,(CF_CFO+CF_CFI)/IS_Total_Rev)</f>
        <v>0.436578885828438</v>
      </c>
      <c r="F15" s="44" t="n">
        <f aca="false">IF(IS_Total_Rev=0,0,(CF_CFO+CF_CFI)/IS_Total_Rev)</f>
        <v>0.435930160595561</v>
      </c>
      <c r="G15" s="44" t="n">
        <f aca="false">IF(IS_Total_Rev=0,0,(CF_CFO+CF_CFI)/IS_Total_Rev)</f>
        <v>0.435366838244592</v>
      </c>
    </row>
    <row r="16" customFormat="false" ht="15" hidden="false" customHeight="false" outlineLevel="0" collapsed="false">
      <c r="A16" s="5"/>
      <c r="B16" s="39" t="s">
        <v>323</v>
      </c>
      <c r="C16" s="38" t="n">
        <f aca="false">(CR_RAB_Open+CR_RAB_Close)/2*Reg_WACC</f>
        <v>288406.2384336</v>
      </c>
      <c r="D16" s="38" t="n">
        <f aca="false">(CR_RAB_Open+CR_RAB_Close)/2*Reg_WACC</f>
        <v>811763.61086317</v>
      </c>
      <c r="E16" s="38" t="n">
        <f aca="false">(CR_RAB_Open+CR_RAB_Close)/2*Reg_WACC</f>
        <v>1348532.56684634</v>
      </c>
      <c r="F16" s="38" t="n">
        <f aca="false">(CR_RAB_Open+CR_RAB_Close)/2*Reg_WACC</f>
        <v>1899368.78897865</v>
      </c>
      <c r="G16" s="38" t="n">
        <f aca="false">(CR_RAB_Open+CR_RAB_Close)/2*Reg_WACC</f>
        <v>2464952.65592757</v>
      </c>
    </row>
    <row r="17" customFormat="false" ht="15" hidden="false" customHeight="false" outlineLevel="0" collapsed="false">
      <c r="A17" s="5"/>
      <c r="B17" s="5"/>
      <c r="C17" s="5"/>
      <c r="D17" s="5"/>
      <c r="E17" s="5"/>
      <c r="F17" s="5"/>
      <c r="G17" s="5"/>
    </row>
    <row r="18" customFormat="false" ht="15" hidden="false" customHeight="false" outlineLevel="0" collapsed="false">
      <c r="A18" s="5"/>
      <c r="B18" s="32" t="s">
        <v>324</v>
      </c>
      <c r="C18" s="16"/>
      <c r="D18" s="16"/>
      <c r="E18" s="16"/>
      <c r="F18" s="16"/>
      <c r="G18" s="16"/>
    </row>
    <row r="19" customFormat="false" ht="15" hidden="false" customHeight="false" outlineLevel="0" collapsed="false">
      <c r="A19" s="5"/>
      <c r="B19" s="39" t="s">
        <v>325</v>
      </c>
      <c r="C19" s="49" t="str">
        <f aca="false">IF(ABS(BS_Check)&lt;1,"PASS","FAIL")</f>
        <v>PASS</v>
      </c>
      <c r="D19" s="49" t="str">
        <f aca="false">IF(ABS(BS_Check)&lt;1,"PASS","FAIL")</f>
        <v>PASS</v>
      </c>
      <c r="E19" s="49" t="str">
        <f aca="false">IF(ABS(BS_Check)&lt;1,"PASS","FAIL")</f>
        <v>PASS</v>
      </c>
      <c r="F19" s="49" t="str">
        <f aca="false">IF(ABS(BS_Check)&lt;1,"PASS","FAIL")</f>
        <v>PASS</v>
      </c>
      <c r="G19" s="49" t="str">
        <f aca="false">IF(ABS(BS_Check)&lt;1,"PASS","FAIL")</f>
        <v>PASS</v>
      </c>
    </row>
    <row r="20" customFormat="false" ht="15" hidden="false" customHeight="false" outlineLevel="0" collapsed="false">
      <c r="A20" s="5"/>
      <c r="B20" s="39" t="s">
        <v>326</v>
      </c>
      <c r="C20" s="49" t="str">
        <f aca="false">IF(C12&lt;0.8,"PASS","FAIL")</f>
        <v>PASS</v>
      </c>
      <c r="D20" s="49" t="str">
        <f aca="false">IF(D12&lt;0.8,"PASS","FAIL")</f>
        <v>PASS</v>
      </c>
      <c r="E20" s="49" t="str">
        <f aca="false">IF(E12&lt;0.8,"PASS","FAIL")</f>
        <v>PASS</v>
      </c>
      <c r="F20" s="49" t="str">
        <f aca="false">IF(F12&lt;0.8,"PASS","FAIL")</f>
        <v>PASS</v>
      </c>
      <c r="G20" s="49" t="str">
        <f aca="false">IF(G12&lt;0.8,"PASS","FAIL")</f>
        <v>PASS</v>
      </c>
    </row>
    <row r="21" customFormat="false" ht="15" hidden="false" customHeight="false" outlineLevel="0" collapsed="false">
      <c r="A21" s="5"/>
      <c r="B21" s="39" t="s">
        <v>327</v>
      </c>
      <c r="C21" s="49" t="str">
        <f aca="false">IF(C13&gt;1.5,"PASS","FAIL")</f>
        <v>PASS</v>
      </c>
      <c r="D21" s="49" t="str">
        <f aca="false">IF(D13&gt;1.5,"PASS","FAIL")</f>
        <v>PASS</v>
      </c>
      <c r="E21" s="49" t="str">
        <f aca="false">IF(E13&gt;1.5,"PASS","FAIL")</f>
        <v>PASS</v>
      </c>
      <c r="F21" s="49" t="str">
        <f aca="false">IF(F13&gt;1.5,"PASS","FAIL")</f>
        <v>PASS</v>
      </c>
      <c r="G21" s="49" t="str">
        <f aca="false">IF(G13&gt;1.5,"PASS","FAIL")</f>
        <v>PASS</v>
      </c>
    </row>
    <row r="22" customFormat="false" ht="15" hidden="false" customHeight="false" outlineLevel="0" collapsed="false">
      <c r="A22" s="5"/>
      <c r="B22" s="39" t="s">
        <v>328</v>
      </c>
      <c r="C22" s="49" t="str">
        <f aca="false">IF(AND(NRW_Pct&gt;=0.1,NRW_Pct&lt;=0.3),"PASS","FAIL")</f>
        <v>PASS</v>
      </c>
      <c r="D22" s="49" t="str">
        <f aca="false">IF(AND(NRW_Pct&gt;=0.1,NRW_Pct&lt;=0.3),"PASS","FAIL")</f>
        <v>PASS</v>
      </c>
      <c r="E22" s="49" t="str">
        <f aca="false">IF(AND(NRW_Pct&gt;=0.1,NRW_Pct&lt;=0.3),"PASS","FAIL")</f>
        <v>PASS</v>
      </c>
      <c r="F22" s="49" t="str">
        <f aca="false">IF(AND(NRW_Pct&gt;=0.1,NRW_Pct&lt;=0.3),"PASS","FAIL")</f>
        <v>PASS</v>
      </c>
      <c r="G22" s="49" t="str">
        <f aca="false">IF(AND(NRW_Pct&gt;=0.1,NRW_Pct&lt;=0.3),"PASS","FAIL")</f>
        <v>PASS</v>
      </c>
    </row>
    <row r="23" customFormat="false" ht="15" hidden="false" customHeight="false" outlineLevel="0" collapsed="false">
      <c r="A23" s="5"/>
      <c r="B23" s="39" t="s">
        <v>329</v>
      </c>
      <c r="C23" s="49" t="str">
        <f aca="false">IF(AND(C9&gt;=0.45,C9&lt;=0.6),"PASS","WARN")</f>
        <v>WARN</v>
      </c>
      <c r="D23" s="49" t="str">
        <f aca="false">IF(AND(D9&gt;=0.45,D9&lt;=0.6),"PASS","WARN")</f>
        <v>WARN</v>
      </c>
      <c r="E23" s="49" t="str">
        <f aca="false">IF(AND(E9&gt;=0.45,E9&lt;=0.6),"PASS","WARN")</f>
        <v>WARN</v>
      </c>
      <c r="F23" s="49" t="str">
        <f aca="false">IF(AND(F9&gt;=0.45,F9&lt;=0.6),"PASS","WARN")</f>
        <v>WARN</v>
      </c>
      <c r="G23" s="49" t="str">
        <f aca="false">IF(AND(G9&gt;=0.45,G9&lt;=0.6),"PASS","WARN")</f>
        <v>WARN</v>
      </c>
    </row>
    <row r="24" customFormat="false" ht="15" hidden="false" customHeight="false" outlineLevel="0" collapsed="false">
      <c r="A24" s="5"/>
      <c r="B24" s="39" t="s">
        <v>330</v>
      </c>
      <c r="C24" s="49" t="str">
        <f aca="false">IF(DR_WW_Vol&lt;=DR_Billed_Vol,"PASS","FAIL")</f>
        <v>PASS</v>
      </c>
      <c r="D24" s="49" t="str">
        <f aca="false">IF(DR_WW_Vol&lt;=DR_Billed_Vol,"PASS","FAIL")</f>
        <v>PASS</v>
      </c>
      <c r="E24" s="49" t="str">
        <f aca="false">IF(DR_WW_Vol&lt;=DR_Billed_Vol,"PASS","FAIL")</f>
        <v>PASS</v>
      </c>
      <c r="F24" s="49" t="str">
        <f aca="false">IF(DR_WW_Vol&lt;=DR_Billed_Vol,"PASS","FAIL")</f>
        <v>PASS</v>
      </c>
      <c r="G24" s="49" t="str">
        <f aca="false">IF(DR_WW_Vol&lt;=DR_Billed_Vol,"PASS","FAIL")</f>
        <v>PASS</v>
      </c>
    </row>
    <row r="25" customFormat="false" ht="15" hidden="false" customHeight="false" outlineLevel="0" collapsed="false">
      <c r="A25" s="5"/>
      <c r="B25" s="39" t="s">
        <v>331</v>
      </c>
      <c r="C25" s="49" t="str">
        <f aca="false">IF(-DEP_Total_Depr&lt;=DEP_Total_Gross,"PASS","FAIL")</f>
        <v>PASS</v>
      </c>
      <c r="D25" s="49" t="str">
        <f aca="false">IF(-DEP_Total_Depr&lt;=DEP_Total_Gross,"PASS","FAIL")</f>
        <v>PASS</v>
      </c>
      <c r="E25" s="49" t="str">
        <f aca="false">IF(-DEP_Total_Depr&lt;=DEP_Total_Gross,"PASS","FAIL")</f>
        <v>PASS</v>
      </c>
      <c r="F25" s="49" t="str">
        <f aca="false">IF(-DEP_Total_Depr&lt;=DEP_Total_Gross,"PASS","FAIL")</f>
        <v>PASS</v>
      </c>
      <c r="G25" s="49" t="str">
        <f aca="false">IF(-DEP_Total_Depr&lt;=DEP_Total_Gross,"PASS","FAIL")</f>
        <v>PASS</v>
      </c>
    </row>
    <row r="26" customFormat="false" ht="15" hidden="false" customHeight="false" outlineLevel="0" collapsed="false">
      <c r="A26" s="5"/>
      <c r="B26" s="39" t="s">
        <v>332</v>
      </c>
      <c r="C26" s="49" t="str">
        <f aca="false">IF(ABS(CF_Open_Cash+CF_CFO+CF_CFI+CF_CFF-CF_Close_Cash)&lt;1,"PASS","FAIL")</f>
        <v>PASS</v>
      </c>
      <c r="D26" s="49" t="str">
        <f aca="false">IF(ABS(CF_Open_Cash+CF_CFO+CF_CFI+CF_CFF-CF_Close_Cash)&lt;1,"PASS","FAIL")</f>
        <v>PASS</v>
      </c>
      <c r="E26" s="49" t="str">
        <f aca="false">IF(ABS(CF_Open_Cash+CF_CFO+CF_CFI+CF_CFF-CF_Close_Cash)&lt;1,"PASS","FAIL")</f>
        <v>PASS</v>
      </c>
      <c r="F26" s="49" t="str">
        <f aca="false">IF(ABS(CF_Open_Cash+CF_CFO+CF_CFI+CF_CFF-CF_Close_Cash)&lt;1,"PASS","FAIL")</f>
        <v>PASS</v>
      </c>
      <c r="G26" s="49" t="str">
        <f aca="false">IF(ABS(CF_Open_Cash+CF_CFO+CF_CFI+CF_CFF-CF_Close_Cash)&lt;1,"PASS","FAIL")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46</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47</v>
      </c>
    </row>
    <row r="6" customFormat="false" ht="48" hidden="false" customHeight="true" outlineLevel="0" collapsed="false">
      <c r="A6" s="5"/>
      <c r="B6" s="23" t="s">
        <v>48</v>
      </c>
    </row>
    <row r="7" customFormat="false" ht="15" hidden="false" customHeight="false" outlineLevel="0" collapsed="false">
      <c r="A7" s="5"/>
      <c r="B7" s="5"/>
    </row>
    <row r="8" customFormat="false" ht="19.5" hidden="false" customHeight="true" outlineLevel="0" collapsed="false">
      <c r="A8" s="5"/>
      <c r="B8" s="22" t="s">
        <v>49</v>
      </c>
    </row>
    <row r="9" customFormat="false" ht="61.5" hidden="false" customHeight="true" outlineLevel="0" collapsed="false">
      <c r="A9" s="5"/>
      <c r="B9" s="23" t="s">
        <v>50</v>
      </c>
    </row>
    <row r="10" customFormat="false" ht="15" hidden="false" customHeight="false" outlineLevel="0" collapsed="false">
      <c r="A10" s="5"/>
      <c r="B10" s="5"/>
    </row>
    <row r="11" customFormat="false" ht="19.5" hidden="false" customHeight="true" outlineLevel="0" collapsed="false">
      <c r="A11" s="5"/>
      <c r="B11" s="22" t="s">
        <v>51</v>
      </c>
    </row>
    <row r="12" customFormat="false" ht="75.75" hidden="false" customHeight="true" outlineLevel="0" collapsed="false">
      <c r="A12" s="5"/>
      <c r="B12" s="23" t="s">
        <v>52</v>
      </c>
    </row>
    <row r="13" customFormat="false" ht="15" hidden="false" customHeight="false" outlineLevel="0" collapsed="false">
      <c r="A13" s="5"/>
      <c r="B13" s="5"/>
    </row>
    <row r="14" customFormat="false" ht="19.5" hidden="false" customHeight="true" outlineLevel="0" collapsed="false">
      <c r="A14" s="5"/>
      <c r="B14" s="22" t="s">
        <v>53</v>
      </c>
    </row>
    <row r="15" customFormat="false" ht="61.5" hidden="false" customHeight="true" outlineLevel="0" collapsed="false">
      <c r="A15" s="5"/>
      <c r="B15" s="23" t="s">
        <v>54</v>
      </c>
    </row>
    <row r="16" customFormat="false" ht="15" hidden="false" customHeight="false" outlineLevel="0" collapsed="false">
      <c r="A16" s="5"/>
      <c r="B16" s="5"/>
    </row>
    <row r="17" customFormat="false" ht="19.5" hidden="false" customHeight="true" outlineLevel="0" collapsed="false">
      <c r="A17" s="5"/>
      <c r="B17" s="22" t="s">
        <v>55</v>
      </c>
    </row>
    <row r="18" customFormat="false" ht="33.75" hidden="false" customHeight="true" outlineLevel="0" collapsed="false">
      <c r="A18" s="5"/>
      <c r="B18" s="23" t="s">
        <v>56</v>
      </c>
    </row>
    <row r="19" customFormat="false" ht="15" hidden="false" customHeight="false" outlineLevel="0" collapsed="false">
      <c r="A19" s="5"/>
      <c r="B19" s="5"/>
    </row>
    <row r="20" customFormat="false" ht="19.5" hidden="false" customHeight="true" outlineLevel="0" collapsed="false">
      <c r="A20" s="5"/>
      <c r="B20" s="22" t="s">
        <v>57</v>
      </c>
    </row>
    <row r="21" customFormat="false" ht="33.75" hidden="false" customHeight="true" outlineLevel="0" collapsed="false">
      <c r="A21" s="5"/>
      <c r="B21" s="23" t="s">
        <v>58</v>
      </c>
    </row>
    <row r="22" customFormat="false" ht="15" hidden="false" customHeight="false" outlineLevel="0" collapsed="false">
      <c r="A22" s="5"/>
      <c r="B22" s="5"/>
    </row>
    <row r="23" customFormat="false" ht="21.75" hidden="false" customHeight="true" outlineLevel="0" collapsed="false">
      <c r="A23" s="5"/>
      <c r="B23" s="24" t="s">
        <v>59</v>
      </c>
    </row>
    <row r="24" customFormat="false" ht="15" hidden="false" customHeight="false" outlineLevel="0" collapsed="false">
      <c r="A24" s="5"/>
      <c r="B24" s="5"/>
    </row>
    <row r="25" customFormat="false" ht="18" hidden="false" customHeight="true" outlineLevel="0" collapsed="false">
      <c r="A25" s="5"/>
      <c r="B25" s="25" t="s">
        <v>60</v>
      </c>
    </row>
    <row r="26" customFormat="false" ht="201.75" hidden="false" customHeight="true" outlineLevel="0" collapsed="false">
      <c r="A26" s="5"/>
      <c r="B26" s="26" t="s">
        <v>61</v>
      </c>
    </row>
    <row r="27" customFormat="false" ht="15" hidden="false" customHeight="false" outlineLevel="0" collapsed="false">
      <c r="A27" s="5"/>
      <c r="B27" s="5"/>
    </row>
    <row r="28" customFormat="false" ht="18" hidden="false" customHeight="true" outlineLevel="0" collapsed="false">
      <c r="A28" s="5"/>
      <c r="B28" s="27" t="s">
        <v>62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6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63</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64</v>
      </c>
      <c r="C5" s="31" t="s">
        <v>65</v>
      </c>
      <c r="D5" s="31" t="s">
        <v>66</v>
      </c>
      <c r="E5" s="31" t="s">
        <v>67</v>
      </c>
    </row>
    <row r="6" customFormat="false" ht="15" hidden="false" customHeight="false" outlineLevel="0" collapsed="false">
      <c r="A6" s="5"/>
      <c r="B6" s="32" t="s">
        <v>68</v>
      </c>
      <c r="C6" s="16"/>
      <c r="D6" s="16"/>
      <c r="E6" s="16"/>
    </row>
    <row r="7" customFormat="false" ht="15" hidden="false" customHeight="false" outlineLevel="0" collapsed="false">
      <c r="A7" s="5"/>
      <c r="B7" s="7" t="s">
        <v>69</v>
      </c>
      <c r="C7" s="33" t="n">
        <v>0.025</v>
      </c>
      <c r="D7" s="34" t="s">
        <v>70</v>
      </c>
      <c r="E7" s="8" t="s">
        <v>71</v>
      </c>
    </row>
    <row r="8" customFormat="false" ht="15" hidden="false" customHeight="false" outlineLevel="0" collapsed="false">
      <c r="A8" s="5"/>
      <c r="B8" s="7" t="s">
        <v>72</v>
      </c>
      <c r="C8" s="33" t="n">
        <v>0.01</v>
      </c>
      <c r="D8" s="34" t="s">
        <v>70</v>
      </c>
      <c r="E8" s="8" t="s">
        <v>73</v>
      </c>
    </row>
    <row r="9" customFormat="false" ht="15" hidden="false" customHeight="false" outlineLevel="0" collapsed="false">
      <c r="A9" s="5"/>
      <c r="B9" s="7" t="s">
        <v>74</v>
      </c>
      <c r="C9" s="35" t="n">
        <v>2.4</v>
      </c>
      <c r="D9" s="34" t="s">
        <v>75</v>
      </c>
      <c r="E9" s="8" t="s">
        <v>76</v>
      </c>
    </row>
    <row r="10" customFormat="false" ht="15" hidden="false" customHeight="false" outlineLevel="0" collapsed="false">
      <c r="A10" s="5"/>
      <c r="B10" s="7" t="s">
        <v>77</v>
      </c>
      <c r="C10" s="33" t="n">
        <v>0.06</v>
      </c>
      <c r="D10" s="34" t="s">
        <v>70</v>
      </c>
      <c r="E10" s="8" t="s">
        <v>78</v>
      </c>
    </row>
    <row r="11" customFormat="false" ht="15" hidden="false" customHeight="false" outlineLevel="0" collapsed="false">
      <c r="A11" s="5"/>
      <c r="B11" s="7" t="s">
        <v>79</v>
      </c>
      <c r="C11" s="33" t="n">
        <v>0.04</v>
      </c>
      <c r="D11" s="34" t="s">
        <v>80</v>
      </c>
      <c r="E11" s="8" t="s">
        <v>81</v>
      </c>
    </row>
    <row r="12" customFormat="false" ht="15" hidden="false" customHeight="false" outlineLevel="0" collapsed="false">
      <c r="A12" s="5"/>
      <c r="B12" s="32" t="s">
        <v>82</v>
      </c>
      <c r="C12" s="16"/>
      <c r="D12" s="16"/>
      <c r="E12" s="16"/>
    </row>
    <row r="13" customFormat="false" ht="15" hidden="false" customHeight="false" outlineLevel="0" collapsed="false">
      <c r="A13" s="5"/>
      <c r="B13" s="7" t="s">
        <v>83</v>
      </c>
      <c r="C13" s="35" t="n">
        <v>150000</v>
      </c>
      <c r="D13" s="34" t="s">
        <v>84</v>
      </c>
      <c r="E13" s="8" t="s">
        <v>85</v>
      </c>
    </row>
    <row r="14" customFormat="false" ht="15" hidden="false" customHeight="false" outlineLevel="0" collapsed="false">
      <c r="A14" s="5"/>
      <c r="B14" s="7" t="s">
        <v>86</v>
      </c>
      <c r="C14" s="35" t="n">
        <v>140</v>
      </c>
      <c r="D14" s="34" t="s">
        <v>87</v>
      </c>
      <c r="E14" s="8" t="s">
        <v>88</v>
      </c>
    </row>
    <row r="15" customFormat="false" ht="15" hidden="false" customHeight="false" outlineLevel="0" collapsed="false">
      <c r="A15" s="5"/>
      <c r="B15" s="7" t="s">
        <v>89</v>
      </c>
      <c r="C15" s="33" t="n">
        <v>0.18</v>
      </c>
      <c r="D15" s="34" t="s">
        <v>70</v>
      </c>
      <c r="E15" s="8" t="s">
        <v>90</v>
      </c>
    </row>
    <row r="16" customFormat="false" ht="15" hidden="false" customHeight="false" outlineLevel="0" collapsed="false">
      <c r="A16" s="5"/>
      <c r="B16" s="7" t="s">
        <v>91</v>
      </c>
      <c r="C16" s="33" t="n">
        <v>0.92</v>
      </c>
      <c r="D16" s="34" t="s">
        <v>70</v>
      </c>
      <c r="E16" s="8" t="s">
        <v>92</v>
      </c>
    </row>
    <row r="17" customFormat="false" ht="15" hidden="false" customHeight="false" outlineLevel="0" collapsed="false">
      <c r="A17" s="5"/>
      <c r="B17" s="32" t="s">
        <v>93</v>
      </c>
      <c r="C17" s="16"/>
      <c r="D17" s="16"/>
      <c r="E17" s="16"/>
    </row>
    <row r="18" customFormat="false" ht="15" hidden="false" customHeight="false" outlineLevel="0" collapsed="false">
      <c r="A18" s="5"/>
      <c r="B18" s="7" t="s">
        <v>94</v>
      </c>
      <c r="C18" s="35" t="n">
        <v>150</v>
      </c>
      <c r="D18" s="34" t="s">
        <v>95</v>
      </c>
      <c r="E18" s="8" t="s">
        <v>96</v>
      </c>
    </row>
    <row r="19" customFormat="false" ht="15" hidden="false" customHeight="false" outlineLevel="0" collapsed="false">
      <c r="A19" s="5"/>
      <c r="B19" s="7" t="s">
        <v>97</v>
      </c>
      <c r="C19" s="35" t="n">
        <v>1.8</v>
      </c>
      <c r="D19" s="34" t="s">
        <v>98</v>
      </c>
      <c r="E19" s="8" t="s">
        <v>99</v>
      </c>
    </row>
    <row r="20" customFormat="false" ht="15" hidden="false" customHeight="false" outlineLevel="0" collapsed="false">
      <c r="A20" s="5"/>
      <c r="B20" s="7" t="s">
        <v>100</v>
      </c>
      <c r="C20" s="35" t="n">
        <v>120</v>
      </c>
      <c r="D20" s="34" t="s">
        <v>95</v>
      </c>
      <c r="E20" s="8" t="s">
        <v>101</v>
      </c>
    </row>
    <row r="21" customFormat="false" ht="15" hidden="false" customHeight="false" outlineLevel="0" collapsed="false">
      <c r="A21" s="5"/>
      <c r="B21" s="7" t="s">
        <v>102</v>
      </c>
      <c r="C21" s="35" t="n">
        <v>2.1</v>
      </c>
      <c r="D21" s="34" t="s">
        <v>98</v>
      </c>
      <c r="E21" s="8" t="s">
        <v>103</v>
      </c>
    </row>
    <row r="22" customFormat="false" ht="15" hidden="false" customHeight="false" outlineLevel="0" collapsed="false">
      <c r="A22" s="5"/>
      <c r="B22" s="7" t="s">
        <v>104</v>
      </c>
      <c r="C22" s="33" t="n">
        <v>0.03</v>
      </c>
      <c r="D22" s="34" t="s">
        <v>105</v>
      </c>
      <c r="E22" s="8" t="s">
        <v>106</v>
      </c>
    </row>
    <row r="23" customFormat="false" ht="15" hidden="false" customHeight="false" outlineLevel="0" collapsed="false">
      <c r="A23" s="5"/>
      <c r="B23" s="7" t="s">
        <v>107</v>
      </c>
      <c r="C23" s="35" t="n">
        <v>5000</v>
      </c>
      <c r="D23" s="34" t="s">
        <v>108</v>
      </c>
      <c r="E23" s="8" t="s">
        <v>109</v>
      </c>
    </row>
    <row r="24" customFormat="false" ht="15" hidden="false" customHeight="false" outlineLevel="0" collapsed="false">
      <c r="A24" s="5"/>
      <c r="B24" s="7" t="s">
        <v>110</v>
      </c>
      <c r="C24" s="35" t="n">
        <v>2000</v>
      </c>
      <c r="D24" s="34" t="s">
        <v>111</v>
      </c>
      <c r="E24" s="8" t="s">
        <v>112</v>
      </c>
    </row>
    <row r="25" customFormat="false" ht="15" hidden="false" customHeight="false" outlineLevel="0" collapsed="false">
      <c r="A25" s="5"/>
      <c r="B25" s="32" t="s">
        <v>113</v>
      </c>
      <c r="C25" s="16"/>
      <c r="D25" s="16"/>
      <c r="E25" s="16"/>
    </row>
    <row r="26" customFormat="false" ht="15" hidden="false" customHeight="false" outlineLevel="0" collapsed="false">
      <c r="A26" s="5"/>
      <c r="B26" s="7" t="s">
        <v>114</v>
      </c>
      <c r="C26" s="33" t="n">
        <v>0.6</v>
      </c>
      <c r="D26" s="34" t="s">
        <v>115</v>
      </c>
      <c r="E26" s="8" t="s">
        <v>116</v>
      </c>
    </row>
    <row r="27" customFormat="false" ht="15" hidden="false" customHeight="false" outlineLevel="0" collapsed="false">
      <c r="A27" s="5"/>
      <c r="B27" s="7" t="s">
        <v>117</v>
      </c>
      <c r="C27" s="33" t="n">
        <v>0.12</v>
      </c>
      <c r="D27" s="34" t="s">
        <v>118</v>
      </c>
      <c r="E27" s="8" t="s">
        <v>119</v>
      </c>
    </row>
    <row r="28" customFormat="false" ht="15" hidden="false" customHeight="false" outlineLevel="0" collapsed="false">
      <c r="A28" s="5"/>
      <c r="B28" s="7" t="s">
        <v>120</v>
      </c>
      <c r="C28" s="33" t="n">
        <v>0.05</v>
      </c>
      <c r="D28" s="34" t="s">
        <v>98</v>
      </c>
      <c r="E28" s="8" t="s">
        <v>121</v>
      </c>
    </row>
    <row r="29" customFormat="false" ht="15" hidden="false" customHeight="false" outlineLevel="0" collapsed="false">
      <c r="A29" s="5"/>
      <c r="B29" s="7" t="s">
        <v>122</v>
      </c>
      <c r="C29" s="33" t="n">
        <v>0.03</v>
      </c>
      <c r="D29" s="34" t="s">
        <v>98</v>
      </c>
      <c r="E29" s="8" t="s">
        <v>123</v>
      </c>
    </row>
    <row r="30" customFormat="false" ht="15" hidden="false" customHeight="false" outlineLevel="0" collapsed="false">
      <c r="A30" s="5"/>
      <c r="B30" s="32" t="s">
        <v>124</v>
      </c>
      <c r="C30" s="16"/>
      <c r="D30" s="16"/>
      <c r="E30" s="16"/>
    </row>
    <row r="31" customFormat="false" ht="15" hidden="false" customHeight="false" outlineLevel="0" collapsed="false">
      <c r="A31" s="5"/>
      <c r="B31" s="7" t="s">
        <v>125</v>
      </c>
      <c r="C31" s="35" t="n">
        <v>65</v>
      </c>
      <c r="D31" s="34" t="s">
        <v>95</v>
      </c>
      <c r="E31" s="8" t="s">
        <v>126</v>
      </c>
    </row>
    <row r="32" customFormat="false" ht="15" hidden="false" customHeight="false" outlineLevel="0" collapsed="false">
      <c r="A32" s="5"/>
      <c r="B32" s="7" t="s">
        <v>127</v>
      </c>
      <c r="C32" s="33" t="n">
        <v>0.03</v>
      </c>
      <c r="D32" s="34" t="s">
        <v>128</v>
      </c>
      <c r="E32" s="8" t="s">
        <v>129</v>
      </c>
    </row>
    <row r="33" customFormat="false" ht="15" hidden="false" customHeight="false" outlineLevel="0" collapsed="false">
      <c r="A33" s="5"/>
      <c r="B33" s="7" t="s">
        <v>130</v>
      </c>
      <c r="C33" s="33" t="n">
        <v>0.04</v>
      </c>
      <c r="D33" s="34" t="s">
        <v>128</v>
      </c>
      <c r="E33" s="8" t="s">
        <v>131</v>
      </c>
    </row>
    <row r="34" customFormat="false" ht="15" hidden="false" customHeight="false" outlineLevel="0" collapsed="false">
      <c r="A34" s="5"/>
      <c r="B34" s="7" t="s">
        <v>132</v>
      </c>
      <c r="C34" s="33" t="n">
        <v>0.03</v>
      </c>
      <c r="D34" s="34" t="s">
        <v>128</v>
      </c>
      <c r="E34" s="8" t="s">
        <v>133</v>
      </c>
    </row>
    <row r="35" customFormat="false" ht="15" hidden="false" customHeight="false" outlineLevel="0" collapsed="false">
      <c r="A35" s="5"/>
      <c r="B35" s="7" t="s">
        <v>134</v>
      </c>
      <c r="C35" s="33" t="n">
        <v>0.02</v>
      </c>
      <c r="D35" s="34" t="s">
        <v>128</v>
      </c>
      <c r="E35" s="8" t="s">
        <v>135</v>
      </c>
    </row>
    <row r="36" customFormat="false" ht="15" hidden="false" customHeight="false" outlineLevel="0" collapsed="false">
      <c r="A36" s="5"/>
      <c r="B36" s="7" t="s">
        <v>136</v>
      </c>
      <c r="C36" s="33" t="n">
        <v>0.015</v>
      </c>
      <c r="D36" s="34" t="s">
        <v>128</v>
      </c>
      <c r="E36" s="8" t="s">
        <v>137</v>
      </c>
    </row>
    <row r="37" customFormat="false" ht="15" hidden="false" customHeight="false" outlineLevel="0" collapsed="false">
      <c r="A37" s="5"/>
      <c r="B37" s="32" t="s">
        <v>138</v>
      </c>
      <c r="C37" s="16"/>
      <c r="D37" s="16"/>
      <c r="E37" s="16"/>
    </row>
    <row r="38" customFormat="false" ht="15" hidden="false" customHeight="false" outlineLevel="0" collapsed="false">
      <c r="A38" s="5"/>
      <c r="B38" s="7" t="s">
        <v>139</v>
      </c>
      <c r="C38" s="33" t="n">
        <v>0.12</v>
      </c>
      <c r="D38" s="34" t="s">
        <v>128</v>
      </c>
      <c r="E38" s="8" t="s">
        <v>140</v>
      </c>
    </row>
    <row r="39" customFormat="false" ht="15" hidden="false" customHeight="false" outlineLevel="0" collapsed="false">
      <c r="A39" s="5"/>
      <c r="B39" s="7" t="s">
        <v>141</v>
      </c>
      <c r="C39" s="33" t="n">
        <v>0.05</v>
      </c>
      <c r="D39" s="34" t="s">
        <v>128</v>
      </c>
      <c r="E39" s="8" t="s">
        <v>142</v>
      </c>
    </row>
    <row r="40" customFormat="false" ht="15" hidden="false" customHeight="false" outlineLevel="0" collapsed="false">
      <c r="A40" s="5"/>
      <c r="B40" s="7" t="s">
        <v>143</v>
      </c>
      <c r="C40" s="33" t="n">
        <v>0.9</v>
      </c>
      <c r="D40" s="34" t="s">
        <v>70</v>
      </c>
      <c r="E40" s="8" t="s">
        <v>144</v>
      </c>
    </row>
    <row r="41" customFormat="false" ht="15" hidden="false" customHeight="false" outlineLevel="0" collapsed="false">
      <c r="A41" s="5"/>
      <c r="B41" s="32" t="s">
        <v>145</v>
      </c>
      <c r="C41" s="16"/>
      <c r="D41" s="16"/>
      <c r="E41" s="16"/>
    </row>
    <row r="42" customFormat="false" ht="15" hidden="false" customHeight="false" outlineLevel="0" collapsed="false">
      <c r="A42" s="5"/>
      <c r="B42" s="7" t="s">
        <v>146</v>
      </c>
      <c r="C42" s="35" t="n">
        <v>75</v>
      </c>
      <c r="D42" s="34" t="s">
        <v>147</v>
      </c>
      <c r="E42" s="8" t="s">
        <v>148</v>
      </c>
    </row>
    <row r="43" customFormat="false" ht="15" hidden="false" customHeight="false" outlineLevel="0" collapsed="false">
      <c r="A43" s="5"/>
      <c r="B43" s="7" t="s">
        <v>149</v>
      </c>
      <c r="C43" s="35" t="n">
        <v>30</v>
      </c>
      <c r="D43" s="34" t="s">
        <v>147</v>
      </c>
      <c r="E43" s="8" t="s">
        <v>150</v>
      </c>
    </row>
    <row r="44" customFormat="false" ht="15" hidden="false" customHeight="false" outlineLevel="0" collapsed="false">
      <c r="A44" s="5"/>
      <c r="B44" s="7" t="s">
        <v>151</v>
      </c>
      <c r="C44" s="35" t="n">
        <v>12</v>
      </c>
      <c r="D44" s="34" t="s">
        <v>147</v>
      </c>
      <c r="E44" s="8" t="s">
        <v>152</v>
      </c>
    </row>
    <row r="45" customFormat="false" ht="15" hidden="false" customHeight="false" outlineLevel="0" collapsed="false">
      <c r="A45" s="5"/>
      <c r="B45" s="7" t="s">
        <v>153</v>
      </c>
      <c r="C45" s="35" t="n">
        <v>5</v>
      </c>
      <c r="D45" s="34" t="s">
        <v>147</v>
      </c>
      <c r="E45" s="8" t="s">
        <v>154</v>
      </c>
    </row>
    <row r="46" customFormat="false" ht="15" hidden="false" customHeight="false" outlineLevel="0" collapsed="false">
      <c r="A46" s="5"/>
      <c r="B46" s="32" t="s">
        <v>155</v>
      </c>
      <c r="C46" s="16"/>
      <c r="D46" s="16"/>
      <c r="E46" s="16"/>
    </row>
    <row r="47" customFormat="false" ht="15" hidden="false" customHeight="false" outlineLevel="0" collapsed="false">
      <c r="A47" s="5"/>
      <c r="B47" s="7" t="s">
        <v>146</v>
      </c>
      <c r="C47" s="33" t="n">
        <v>0.45</v>
      </c>
      <c r="D47" s="34" t="s">
        <v>70</v>
      </c>
      <c r="E47" s="8" t="s">
        <v>156</v>
      </c>
    </row>
    <row r="48" customFormat="false" ht="15" hidden="false" customHeight="false" outlineLevel="0" collapsed="false">
      <c r="A48" s="5"/>
      <c r="B48" s="7" t="s">
        <v>149</v>
      </c>
      <c r="C48" s="33" t="n">
        <v>0.3</v>
      </c>
      <c r="D48" s="34" t="s">
        <v>70</v>
      </c>
      <c r="E48" s="8" t="s">
        <v>157</v>
      </c>
    </row>
    <row r="49" customFormat="false" ht="15" hidden="false" customHeight="false" outlineLevel="0" collapsed="false">
      <c r="A49" s="5"/>
      <c r="B49" s="7" t="s">
        <v>151</v>
      </c>
      <c r="C49" s="33" t="n">
        <v>0.15</v>
      </c>
      <c r="D49" s="34" t="s">
        <v>70</v>
      </c>
      <c r="E49" s="8" t="s">
        <v>158</v>
      </c>
    </row>
    <row r="50" customFormat="false" ht="15" hidden="false" customHeight="false" outlineLevel="0" collapsed="false">
      <c r="A50" s="5"/>
      <c r="B50" s="7" t="s">
        <v>153</v>
      </c>
      <c r="C50" s="33" t="n">
        <v>0.1</v>
      </c>
      <c r="D50" s="34" t="s">
        <v>70</v>
      </c>
      <c r="E50" s="8" t="s">
        <v>159</v>
      </c>
    </row>
    <row r="51" customFormat="false" ht="15" hidden="false" customHeight="false" outlineLevel="0" collapsed="false">
      <c r="A51" s="5"/>
      <c r="B51" s="32" t="s">
        <v>160</v>
      </c>
      <c r="C51" s="16"/>
      <c r="D51" s="16"/>
      <c r="E51" s="16"/>
    </row>
    <row r="52" customFormat="false" ht="15" hidden="false" customHeight="false" outlineLevel="0" collapsed="false">
      <c r="A52" s="5"/>
      <c r="B52" s="7" t="s">
        <v>161</v>
      </c>
      <c r="C52" s="35" t="n">
        <v>500000</v>
      </c>
      <c r="D52" s="34" t="s">
        <v>162</v>
      </c>
      <c r="E52" s="8" t="s">
        <v>163</v>
      </c>
    </row>
    <row r="53" customFormat="false" ht="15" hidden="false" customHeight="false" outlineLevel="0" collapsed="false">
      <c r="A53" s="5"/>
      <c r="B53" s="7" t="s">
        <v>164</v>
      </c>
      <c r="C53" s="35" t="n">
        <v>350000</v>
      </c>
      <c r="D53" s="34" t="s">
        <v>162</v>
      </c>
      <c r="E53" s="8" t="s">
        <v>165</v>
      </c>
    </row>
    <row r="54" customFormat="false" ht="15" hidden="false" customHeight="false" outlineLevel="0" collapsed="false">
      <c r="A54" s="5"/>
      <c r="B54" s="7" t="s">
        <v>166</v>
      </c>
      <c r="C54" s="35" t="n">
        <v>200000</v>
      </c>
      <c r="D54" s="34" t="s">
        <v>162</v>
      </c>
      <c r="E54" s="8" t="s">
        <v>165</v>
      </c>
    </row>
    <row r="55" customFormat="false" ht="15" hidden="false" customHeight="false" outlineLevel="0" collapsed="false">
      <c r="A55" s="5"/>
      <c r="B55" s="7" t="s">
        <v>167</v>
      </c>
      <c r="C55" s="35" t="n">
        <v>80000</v>
      </c>
      <c r="D55" s="34" t="s">
        <v>162</v>
      </c>
      <c r="E55" s="8" t="s">
        <v>165</v>
      </c>
    </row>
    <row r="56" customFormat="false" ht="15" hidden="false" customHeight="false" outlineLevel="0" collapsed="false">
      <c r="A56" s="5"/>
      <c r="B56" s="7" t="s">
        <v>168</v>
      </c>
      <c r="C56" s="35" t="n">
        <v>20000</v>
      </c>
      <c r="D56" s="34" t="s">
        <v>162</v>
      </c>
      <c r="E56" s="8" t="s">
        <v>165</v>
      </c>
    </row>
    <row r="57" customFormat="false" ht="15" hidden="false" customHeight="false" outlineLevel="0" collapsed="false">
      <c r="A57" s="5"/>
      <c r="B57" s="7" t="s">
        <v>169</v>
      </c>
      <c r="C57" s="35" t="n">
        <v>150000</v>
      </c>
      <c r="D57" s="34" t="s">
        <v>162</v>
      </c>
      <c r="E57" s="8" t="s">
        <v>170</v>
      </c>
    </row>
    <row r="58" customFormat="false" ht="15" hidden="false" customHeight="false" outlineLevel="0" collapsed="false">
      <c r="A58" s="5"/>
      <c r="B58" s="7" t="s">
        <v>171</v>
      </c>
      <c r="C58" s="35" t="n">
        <v>25000</v>
      </c>
      <c r="D58" s="34" t="s">
        <v>162</v>
      </c>
      <c r="E58" s="8" t="s">
        <v>172</v>
      </c>
    </row>
    <row r="59" customFormat="false" ht="15" hidden="false" customHeight="false" outlineLevel="0" collapsed="false">
      <c r="A59" s="5"/>
      <c r="B59" s="32" t="s">
        <v>173</v>
      </c>
      <c r="C59" s="16"/>
      <c r="D59" s="16"/>
      <c r="E59" s="16"/>
    </row>
    <row r="60" customFormat="false" ht="15" hidden="false" customHeight="false" outlineLevel="0" collapsed="false">
      <c r="A60" s="5"/>
      <c r="B60" s="7" t="s">
        <v>174</v>
      </c>
      <c r="C60" s="33" t="n">
        <v>0.65</v>
      </c>
      <c r="D60" s="34" t="s">
        <v>70</v>
      </c>
      <c r="E60" s="8" t="s">
        <v>175</v>
      </c>
    </row>
    <row r="61" customFormat="false" ht="15" hidden="false" customHeight="false" outlineLevel="0" collapsed="false">
      <c r="A61" s="5"/>
      <c r="B61" s="7" t="s">
        <v>176</v>
      </c>
      <c r="C61" s="33" t="n">
        <v>0.055</v>
      </c>
      <c r="D61" s="34" t="s">
        <v>70</v>
      </c>
      <c r="E61" s="8" t="s">
        <v>177</v>
      </c>
    </row>
    <row r="62" customFormat="false" ht="15" hidden="false" customHeight="false" outlineLevel="0" collapsed="false">
      <c r="A62" s="5"/>
      <c r="B62" s="7" t="s">
        <v>178</v>
      </c>
      <c r="C62" s="33" t="n">
        <v>0.25</v>
      </c>
      <c r="D62" s="34" t="s">
        <v>70</v>
      </c>
      <c r="E62" s="8" t="s">
        <v>179</v>
      </c>
    </row>
    <row r="63" customFormat="false" ht="15" hidden="false" customHeight="false" outlineLevel="0" collapsed="false">
      <c r="A63" s="5"/>
      <c r="B63" s="32" t="s">
        <v>180</v>
      </c>
      <c r="C63" s="16"/>
      <c r="D63" s="16"/>
      <c r="E63" s="16"/>
    </row>
    <row r="64" customFormat="false" ht="15" hidden="false" customHeight="false" outlineLevel="0" collapsed="false">
      <c r="A64" s="5"/>
      <c r="B64" s="7" t="s">
        <v>181</v>
      </c>
      <c r="C64" s="35" t="n">
        <v>35</v>
      </c>
      <c r="D64" s="34" t="s">
        <v>182</v>
      </c>
      <c r="E64" s="8" t="s">
        <v>183</v>
      </c>
    </row>
    <row r="65" customFormat="false" ht="15" hidden="false" customHeight="false" outlineLevel="0" collapsed="false">
      <c r="A65" s="5"/>
      <c r="B65" s="7" t="s">
        <v>184</v>
      </c>
      <c r="C65" s="35" t="n">
        <v>40</v>
      </c>
      <c r="D65" s="34" t="s">
        <v>182</v>
      </c>
      <c r="E65" s="8" t="s">
        <v>185</v>
      </c>
    </row>
    <row r="66" customFormat="false" ht="15" hidden="false" customHeight="false" outlineLevel="0" collapsed="false">
      <c r="A66" s="5"/>
      <c r="B66" s="7" t="s">
        <v>186</v>
      </c>
      <c r="C66" s="35" t="n">
        <v>20</v>
      </c>
      <c r="D66" s="34" t="s">
        <v>182</v>
      </c>
      <c r="E66" s="8" t="s">
        <v>187</v>
      </c>
    </row>
    <row r="67" customFormat="false" ht="15" hidden="false" customHeight="false" outlineLevel="0" collapsed="false">
      <c r="A67" s="5"/>
      <c r="B67" s="32" t="s">
        <v>188</v>
      </c>
      <c r="C67" s="16"/>
      <c r="D67" s="16"/>
      <c r="E67" s="16"/>
    </row>
    <row r="68" customFormat="false" ht="15" hidden="false" customHeight="false" outlineLevel="0" collapsed="false">
      <c r="A68" s="5"/>
      <c r="B68" s="7" t="s">
        <v>189</v>
      </c>
      <c r="C68" s="33" t="n">
        <v>0.7</v>
      </c>
      <c r="D68" s="34" t="s">
        <v>70</v>
      </c>
      <c r="E68" s="8" t="s">
        <v>190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191</v>
      </c>
      <c r="C2" s="5"/>
      <c r="D2" s="5"/>
      <c r="E2" s="5"/>
      <c r="F2" s="5"/>
      <c r="G2" s="5"/>
    </row>
    <row r="3" customFormat="false" ht="15" hidden="false" customHeight="false" outlineLevel="0" collapsed="false">
      <c r="A3" s="5"/>
      <c r="B3" s="29" t="s">
        <v>9</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82</v>
      </c>
      <c r="C8" s="16"/>
      <c r="D8" s="16"/>
      <c r="E8" s="16"/>
      <c r="F8" s="16"/>
      <c r="G8" s="16"/>
    </row>
    <row r="9" customFormat="false" ht="15" hidden="false" customHeight="false" outlineLevel="0" collapsed="false">
      <c r="A9" s="5"/>
      <c r="B9" s="7" t="s">
        <v>194</v>
      </c>
      <c r="C9" s="38" t="n">
        <f aca="false">Opening_Connections</f>
        <v>150000</v>
      </c>
      <c r="D9" s="38" t="n">
        <f aca="false">C9*(1+Pop_Growth)</f>
        <v>151500</v>
      </c>
      <c r="E9" s="38" t="n">
        <f aca="false">D9*(1+Pop_Growth)</f>
        <v>153015</v>
      </c>
      <c r="F9" s="38" t="n">
        <f aca="false">E9*(1+Pop_Growth)</f>
        <v>154545.15</v>
      </c>
      <c r="G9" s="38" t="n">
        <f aca="false">F9*(1+Pop_Growth)</f>
        <v>156090.6015</v>
      </c>
    </row>
    <row r="10" customFormat="false" ht="15" hidden="false" customHeight="false" outlineLevel="0" collapsed="false">
      <c r="A10" s="5"/>
      <c r="B10" s="39" t="s">
        <v>195</v>
      </c>
      <c r="C10" s="38" t="n">
        <f aca="false">Per_Capita_Consump</f>
        <v>140</v>
      </c>
      <c r="D10" s="38" t="n">
        <f aca="false">Per_Capita_Consump</f>
        <v>140</v>
      </c>
      <c r="E10" s="38" t="n">
        <f aca="false">Per_Capita_Consump</f>
        <v>140</v>
      </c>
      <c r="F10" s="38" t="n">
        <f aca="false">Per_Capita_Consump</f>
        <v>140</v>
      </c>
      <c r="G10" s="38" t="n">
        <f aca="false">Per_Capita_Consump</f>
        <v>140</v>
      </c>
    </row>
    <row r="11" customFormat="false" ht="15" hidden="false" customHeight="false" outlineLevel="0" collapsed="false">
      <c r="A11" s="5"/>
      <c r="B11" s="39" t="s">
        <v>196</v>
      </c>
      <c r="C11" s="38" t="n">
        <f aca="false">C9*Persons_HH*C10*365/1000</f>
        <v>18396000</v>
      </c>
      <c r="D11" s="38" t="n">
        <f aca="false">D9*Persons_HH*D10*365/1000</f>
        <v>18579960</v>
      </c>
      <c r="E11" s="38" t="n">
        <f aca="false">E9*Persons_HH*E10*365/1000</f>
        <v>18765759.6</v>
      </c>
      <c r="F11" s="38" t="n">
        <f aca="false">F9*Persons_HH*F10*365/1000</f>
        <v>18953417.196</v>
      </c>
      <c r="G11" s="38" t="n">
        <f aca="false">G9*Persons_HH*G10*365/1000</f>
        <v>19142951.36796</v>
      </c>
    </row>
    <row r="12" customFormat="false" ht="15" hidden="false" customHeight="false" outlineLevel="0" collapsed="false">
      <c r="A12" s="5"/>
      <c r="B12" s="39" t="s">
        <v>89</v>
      </c>
      <c r="C12" s="38" t="n">
        <f aca="false">C11*NRW_Pct</f>
        <v>3311280</v>
      </c>
      <c r="D12" s="38" t="n">
        <f aca="false">D11*NRW_Pct</f>
        <v>3344392.8</v>
      </c>
      <c r="E12" s="38" t="n">
        <f aca="false">E11*NRW_Pct</f>
        <v>3377836.728</v>
      </c>
      <c r="F12" s="38" t="n">
        <f aca="false">F11*NRW_Pct</f>
        <v>3411615.09528</v>
      </c>
      <c r="G12" s="38" t="n">
        <f aca="false">G11*NRW_Pct</f>
        <v>3445731.2462328</v>
      </c>
    </row>
    <row r="13" customFormat="false" ht="15" hidden="false" customHeight="false" outlineLevel="0" collapsed="false">
      <c r="A13" s="5"/>
      <c r="B13" s="40" t="s">
        <v>197</v>
      </c>
      <c r="C13" s="41" t="n">
        <f aca="false">C11-C12</f>
        <v>15084720</v>
      </c>
      <c r="D13" s="41" t="n">
        <f aca="false">D11-D12</f>
        <v>15235567.2</v>
      </c>
      <c r="E13" s="41" t="n">
        <f aca="false">E11-E12</f>
        <v>15387922.872</v>
      </c>
      <c r="F13" s="41" t="n">
        <f aca="false">F11-F12</f>
        <v>15541802.10072</v>
      </c>
      <c r="G13" s="41" t="n">
        <f aca="false">G11-G12</f>
        <v>15697220.1217272</v>
      </c>
    </row>
    <row r="14" customFormat="false" ht="15" hidden="false" customHeight="false" outlineLevel="0" collapsed="false">
      <c r="A14" s="5"/>
      <c r="B14" s="39" t="s">
        <v>198</v>
      </c>
      <c r="C14" s="38" t="n">
        <f aca="false">C13*Return_Sewer</f>
        <v>13877942.4</v>
      </c>
      <c r="D14" s="38" t="n">
        <f aca="false">D13*Return_Sewer</f>
        <v>14016721.824</v>
      </c>
      <c r="E14" s="38" t="n">
        <f aca="false">E13*Return_Sewer</f>
        <v>14156889.04224</v>
      </c>
      <c r="F14" s="38" t="n">
        <f aca="false">F13*Return_Sewer</f>
        <v>14298457.9326624</v>
      </c>
      <c r="G14" s="38" t="n">
        <f aca="false">G13*Return_Sewer</f>
        <v>14441442.511989</v>
      </c>
    </row>
    <row r="15" customFormat="false" ht="15" hidden="false" customHeight="false" outlineLevel="0" collapsed="false">
      <c r="A15" s="5"/>
      <c r="B15" s="5"/>
      <c r="C15" s="5"/>
      <c r="D15" s="5"/>
      <c r="E15" s="5"/>
      <c r="F15" s="5"/>
      <c r="G15" s="5"/>
    </row>
    <row r="16" customFormat="false" ht="15" hidden="false" customHeight="false" outlineLevel="0" collapsed="false">
      <c r="A16" s="5"/>
      <c r="B16" s="32" t="s">
        <v>199</v>
      </c>
      <c r="C16" s="16"/>
      <c r="D16" s="16"/>
      <c r="E16" s="16"/>
      <c r="F16" s="16"/>
      <c r="G16" s="16"/>
    </row>
    <row r="17" customFormat="false" ht="15" hidden="false" customHeight="false" outlineLevel="0" collapsed="false">
      <c r="A17" s="5"/>
      <c r="B17" s="39" t="s">
        <v>200</v>
      </c>
      <c r="C17" s="38" t="n">
        <f aca="false">C9*Fixed_Water_Tariff/1000</f>
        <v>22500</v>
      </c>
      <c r="D17" s="38" t="n">
        <f aca="false">D9*Fixed_Water_Tariff*(1+Tariff_Escalation)^(D6-1)/1000</f>
        <v>23406.75</v>
      </c>
      <c r="E17" s="38" t="n">
        <f aca="false">E9*Fixed_Water_Tariff*(1+Tariff_Escalation)^(E6-1)/1000</f>
        <v>24350.042025</v>
      </c>
      <c r="F17" s="38" t="n">
        <f aca="false">F9*Fixed_Water_Tariff*(1+Tariff_Escalation)^(F6-1)/1000</f>
        <v>25331.3487186075</v>
      </c>
      <c r="G17" s="38" t="n">
        <f aca="false">G9*Fixed_Water_Tariff*(1+Tariff_Escalation)^(G6-1)/1000</f>
        <v>26352.2020719674</v>
      </c>
    </row>
    <row r="18" customFormat="false" ht="15" hidden="false" customHeight="false" outlineLevel="0" collapsed="false">
      <c r="A18" s="5"/>
      <c r="B18" s="39" t="s">
        <v>201</v>
      </c>
      <c r="C18" s="38" t="n">
        <f aca="false">C13*Vol_Water_Tariff</f>
        <v>27152496</v>
      </c>
      <c r="D18" s="38" t="n">
        <f aca="false">D13*Vol_Water_Tariff*(1+Tariff_Escalation)^(D6-1)</f>
        <v>28246741.5888</v>
      </c>
      <c r="E18" s="38" t="n">
        <f aca="false">E13*Vol_Water_Tariff*(1+Tariff_Escalation)^(E6-1)</f>
        <v>29385085.2748286</v>
      </c>
      <c r="F18" s="38" t="n">
        <f aca="false">F13*Vol_Water_Tariff*(1+Tariff_Escalation)^(F6-1)</f>
        <v>30569304.2114042</v>
      </c>
      <c r="G18" s="38" t="n">
        <f aca="false">G13*Vol_Water_Tariff*(1+Tariff_Escalation)^(G6-1)</f>
        <v>31801247.1711238</v>
      </c>
    </row>
    <row r="19" customFormat="false" ht="15" hidden="false" customHeight="false" outlineLevel="0" collapsed="false">
      <c r="A19" s="5"/>
      <c r="B19" s="40" t="s">
        <v>202</v>
      </c>
      <c r="C19" s="41" t="n">
        <f aca="false">C17+C18</f>
        <v>27174996</v>
      </c>
      <c r="D19" s="41" t="n">
        <f aca="false">D17+D18</f>
        <v>28270148.3388</v>
      </c>
      <c r="E19" s="41" t="n">
        <f aca="false">E17+E18</f>
        <v>29409435.3168536</v>
      </c>
      <c r="F19" s="41" t="n">
        <f aca="false">F17+F18</f>
        <v>30594635.5601228</v>
      </c>
      <c r="G19" s="41" t="n">
        <f aca="false">G17+G18</f>
        <v>31827599.3731958</v>
      </c>
    </row>
    <row r="20" customFormat="false" ht="15" hidden="false" customHeight="false" outlineLevel="0" collapsed="false">
      <c r="A20" s="5"/>
      <c r="B20" s="5"/>
      <c r="C20" s="5"/>
      <c r="D20" s="5"/>
      <c r="E20" s="5"/>
      <c r="F20" s="5"/>
      <c r="G20" s="5"/>
    </row>
    <row r="21" customFormat="false" ht="15" hidden="false" customHeight="false" outlineLevel="0" collapsed="false">
      <c r="A21" s="5"/>
      <c r="B21" s="32" t="s">
        <v>203</v>
      </c>
      <c r="C21" s="16"/>
      <c r="D21" s="16"/>
      <c r="E21" s="16"/>
      <c r="F21" s="16"/>
      <c r="G21" s="16"/>
    </row>
    <row r="22" customFormat="false" ht="15" hidden="false" customHeight="false" outlineLevel="0" collapsed="false">
      <c r="A22" s="5"/>
      <c r="B22" s="39" t="s">
        <v>200</v>
      </c>
      <c r="C22" s="38" t="n">
        <f aca="false">C9*Fixed_WW_Tariff/1000</f>
        <v>18000</v>
      </c>
      <c r="D22" s="38" t="n">
        <f aca="false">D9*Fixed_WW_Tariff*(1+Tariff_Escalation)^(D6-1)/1000</f>
        <v>18725.4</v>
      </c>
      <c r="E22" s="38" t="n">
        <f aca="false">E9*Fixed_WW_Tariff*(1+Tariff_Escalation)^(E6-1)/1000</f>
        <v>19480.03362</v>
      </c>
      <c r="F22" s="38" t="n">
        <f aca="false">F9*Fixed_WW_Tariff*(1+Tariff_Escalation)^(F6-1)/1000</f>
        <v>20265.078974886</v>
      </c>
      <c r="G22" s="38" t="n">
        <f aca="false">G9*Fixed_WW_Tariff*(1+Tariff_Escalation)^(G6-1)/1000</f>
        <v>21081.7616575739</v>
      </c>
    </row>
    <row r="23" customFormat="false" ht="15" hidden="false" customHeight="false" outlineLevel="0" collapsed="false">
      <c r="A23" s="5"/>
      <c r="B23" s="39" t="s">
        <v>201</v>
      </c>
      <c r="C23" s="38" t="n">
        <f aca="false">C14*Vol_WW_Tariff</f>
        <v>29143679.04</v>
      </c>
      <c r="D23" s="38" t="n">
        <f aca="false">D14*Vol_WW_Tariff*(1+Tariff_Escalation)^(D6-1)</f>
        <v>30318169.305312</v>
      </c>
      <c r="E23" s="38" t="n">
        <f aca="false">E14*Vol_WW_Tariff*(1+Tariff_Escalation)^(E6-1)</f>
        <v>31539991.5283161</v>
      </c>
      <c r="F23" s="38" t="n">
        <f aca="false">F14*Vol_WW_Tariff*(1+Tariff_Escalation)^(F6-1)</f>
        <v>32811053.1869072</v>
      </c>
      <c r="G23" s="38" t="n">
        <f aca="false">G14*Vol_WW_Tariff*(1+Tariff_Escalation)^(G6-1)</f>
        <v>34133338.6303396</v>
      </c>
    </row>
    <row r="24" customFormat="false" ht="15" hidden="false" customHeight="false" outlineLevel="0" collapsed="false">
      <c r="A24" s="5"/>
      <c r="B24" s="40" t="s">
        <v>204</v>
      </c>
      <c r="C24" s="41" t="n">
        <f aca="false">C22+C23</f>
        <v>29161679.04</v>
      </c>
      <c r="D24" s="41" t="n">
        <f aca="false">D22+D23</f>
        <v>30336894.705312</v>
      </c>
      <c r="E24" s="41" t="n">
        <f aca="false">E22+E23</f>
        <v>31559471.5619361</v>
      </c>
      <c r="F24" s="41" t="n">
        <f aca="false">F22+F23</f>
        <v>32831318.2658821</v>
      </c>
      <c r="G24" s="41" t="n">
        <f aca="false">G22+G23</f>
        <v>34154420.3919972</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32" t="s">
        <v>205</v>
      </c>
      <c r="C26" s="16"/>
      <c r="D26" s="16"/>
      <c r="E26" s="16"/>
      <c r="F26" s="16"/>
      <c r="G26" s="16"/>
    </row>
    <row r="27" customFormat="false" ht="15" hidden="false" customHeight="false" outlineLevel="0" collapsed="false">
      <c r="A27" s="5"/>
      <c r="B27" s="39" t="s">
        <v>206</v>
      </c>
      <c r="C27" s="38" t="n">
        <f aca="false">New_Connections_Yr</f>
        <v>2000</v>
      </c>
      <c r="D27" s="38" t="n">
        <f aca="false">New_Connections_Yr</f>
        <v>2000</v>
      </c>
      <c r="E27" s="38" t="n">
        <f aca="false">New_Connections_Yr</f>
        <v>2000</v>
      </c>
      <c r="F27" s="38" t="n">
        <f aca="false">New_Connections_Yr</f>
        <v>2000</v>
      </c>
      <c r="G27" s="38" t="n">
        <f aca="false">New_Connections_Yr</f>
        <v>2000</v>
      </c>
    </row>
    <row r="28" customFormat="false" ht="15" hidden="false" customHeight="false" outlineLevel="0" collapsed="false">
      <c r="A28" s="5"/>
      <c r="B28" s="39" t="s">
        <v>207</v>
      </c>
      <c r="C28" s="38" t="n">
        <f aca="false">C27*Developer_Fee/1000</f>
        <v>10000</v>
      </c>
      <c r="D28" s="38" t="n">
        <f aca="false">D27*Developer_Fee/1000</f>
        <v>10000</v>
      </c>
      <c r="E28" s="38" t="n">
        <f aca="false">E27*Developer_Fee/1000</f>
        <v>10000</v>
      </c>
      <c r="F28" s="38" t="n">
        <f aca="false">F27*Developer_Fee/1000</f>
        <v>10000</v>
      </c>
      <c r="G28" s="38" t="n">
        <f aca="false">G27*Developer_Fee/1000</f>
        <v>10000</v>
      </c>
    </row>
    <row r="29" customFormat="false" ht="15" hidden="false" customHeight="false" outlineLevel="0" collapsed="false">
      <c r="A29" s="5"/>
      <c r="B29" s="5"/>
      <c r="C29" s="5"/>
      <c r="D29" s="5"/>
      <c r="E29" s="5"/>
      <c r="F29" s="5"/>
      <c r="G29" s="5"/>
    </row>
    <row r="30" customFormat="false" ht="15" hidden="false" customHeight="false" outlineLevel="0" collapsed="false">
      <c r="A30" s="5"/>
      <c r="B30" s="42" t="s">
        <v>208</v>
      </c>
      <c r="C30" s="43" t="n">
        <f aca="false">C19+C24+C28</f>
        <v>56346675.04</v>
      </c>
      <c r="D30" s="43" t="n">
        <f aca="false">D19+D24+D28</f>
        <v>58617043.044112</v>
      </c>
      <c r="E30" s="43" t="n">
        <f aca="false">E19+E24+E28</f>
        <v>60978906.8787897</v>
      </c>
      <c r="F30" s="43" t="n">
        <f aca="false">F19+F24+F28</f>
        <v>63435953.8260049</v>
      </c>
      <c r="G30" s="43" t="n">
        <f aca="false">G19+G24+G28</f>
        <v>65992019.7651929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209</v>
      </c>
      <c r="C2" s="5"/>
      <c r="D2" s="5"/>
      <c r="E2" s="5"/>
      <c r="F2" s="5"/>
      <c r="G2" s="5"/>
    </row>
    <row r="3" customFormat="false" ht="15" hidden="false" customHeight="false" outlineLevel="0" collapsed="false">
      <c r="A3" s="5"/>
      <c r="B3" s="29" t="s">
        <v>210</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211</v>
      </c>
      <c r="C8" s="16"/>
      <c r="D8" s="16"/>
      <c r="E8" s="16"/>
      <c r="F8" s="16"/>
      <c r="G8" s="16"/>
    </row>
    <row r="9" customFormat="false" ht="15" hidden="false" customHeight="false" outlineLevel="0" collapsed="false">
      <c r="A9" s="5"/>
      <c r="B9" s="39" t="s">
        <v>212</v>
      </c>
      <c r="C9" s="38" t="n">
        <f aca="false">-DR_Total_Vol*Energy_Intensity*Power_Price</f>
        <v>-1324512</v>
      </c>
      <c r="D9" s="38" t="n">
        <f aca="false">-DR_Total_Vol*Energy_Intensity*Power_Price</f>
        <v>-1337757.12</v>
      </c>
      <c r="E9" s="38" t="n">
        <f aca="false">-DR_Total_Vol*Energy_Intensity*Power_Price</f>
        <v>-1351134.6912</v>
      </c>
      <c r="F9" s="38" t="n">
        <f aca="false">-DR_Total_Vol*Energy_Intensity*Power_Price</f>
        <v>-1364646.038112</v>
      </c>
      <c r="G9" s="38" t="n">
        <f aca="false">-DR_Total_Vol*Energy_Intensity*Power_Price</f>
        <v>-1378292.49849312</v>
      </c>
    </row>
    <row r="10" customFormat="false" ht="15" hidden="false" customHeight="false" outlineLevel="0" collapsed="false">
      <c r="A10" s="5"/>
      <c r="B10" s="39" t="s">
        <v>213</v>
      </c>
      <c r="C10" s="38" t="n">
        <f aca="false">-DR_Total_Vol*Chemical_Cost_Vol</f>
        <v>-919800</v>
      </c>
      <c r="D10" s="38" t="n">
        <f aca="false">-DR_Total_Vol*Chemical_Cost_Vol</f>
        <v>-928998</v>
      </c>
      <c r="E10" s="38" t="n">
        <f aca="false">-DR_Total_Vol*Chemical_Cost_Vol</f>
        <v>-938287.98</v>
      </c>
      <c r="F10" s="38" t="n">
        <f aca="false">-DR_Total_Vol*Chemical_Cost_Vol</f>
        <v>-947670.8598</v>
      </c>
      <c r="G10" s="38" t="n">
        <f aca="false">-DR_Total_Vol*Chemical_Cost_Vol</f>
        <v>-957147.568398</v>
      </c>
    </row>
    <row r="11" customFormat="false" ht="15" hidden="false" customHeight="false" outlineLevel="0" collapsed="false">
      <c r="A11" s="5"/>
      <c r="B11" s="39" t="s">
        <v>122</v>
      </c>
      <c r="C11" s="38" t="n">
        <f aca="false">-DR_Total_Vol*Sludge_Cost_Vol</f>
        <v>-551880</v>
      </c>
      <c r="D11" s="38" t="n">
        <f aca="false">-DR_Total_Vol*Sludge_Cost_Vol</f>
        <v>-557398.8</v>
      </c>
      <c r="E11" s="38" t="n">
        <f aca="false">-DR_Total_Vol*Sludge_Cost_Vol</f>
        <v>-562972.788</v>
      </c>
      <c r="F11" s="38" t="n">
        <f aca="false">-DR_Total_Vol*Sludge_Cost_Vol</f>
        <v>-568602.51588</v>
      </c>
      <c r="G11" s="38" t="n">
        <f aca="false">-DR_Total_Vol*Sludge_Cost_Vol</f>
        <v>-574288.5410388</v>
      </c>
    </row>
    <row r="12" customFormat="false" ht="15" hidden="false" customHeight="false" outlineLevel="0" collapsed="false">
      <c r="A12" s="5"/>
      <c r="B12" s="40" t="s">
        <v>214</v>
      </c>
      <c r="C12" s="41" t="n">
        <f aca="false">C9+C10+C11</f>
        <v>-2796192</v>
      </c>
      <c r="D12" s="41" t="n">
        <f aca="false">D9+D10+D11</f>
        <v>-2824153.92</v>
      </c>
      <c r="E12" s="41" t="n">
        <f aca="false">E9+E10+E11</f>
        <v>-2852395.4592</v>
      </c>
      <c r="F12" s="41" t="n">
        <f aca="false">F9+F10+F11</f>
        <v>-2880919.413792</v>
      </c>
      <c r="G12" s="41" t="n">
        <f aca="false">G9+G10+G11</f>
        <v>-2909728.60792992</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215</v>
      </c>
      <c r="C14" s="16"/>
      <c r="D14" s="16"/>
      <c r="E14" s="16"/>
      <c r="F14" s="16"/>
      <c r="G14" s="16"/>
    </row>
    <row r="15" customFormat="false" ht="15" hidden="false" customHeight="false" outlineLevel="0" collapsed="false">
      <c r="A15" s="5"/>
      <c r="B15" s="39" t="s">
        <v>216</v>
      </c>
      <c r="C15" s="38" t="n">
        <f aca="false">-DR_Connections*Labour_Per_Conn/1000</f>
        <v>-9750</v>
      </c>
      <c r="D15" s="38" t="n">
        <f aca="false">-DR_Connections*Labour_Per_Conn*(1+Inflation_Rate)^(D6-1)/1000</f>
        <v>-10093.6875</v>
      </c>
      <c r="E15" s="38" t="n">
        <f aca="false">-DR_Connections*Labour_Per_Conn*(1+Inflation_Rate)^(E6-1)/1000</f>
        <v>-10449.489984375</v>
      </c>
      <c r="F15" s="38" t="n">
        <f aca="false">-DR_Connections*Labour_Per_Conn*(1+Inflation_Rate)^(F6-1)/1000</f>
        <v>-10817.8345063242</v>
      </c>
      <c r="G15" s="38" t="n">
        <f aca="false">-DR_Connections*Labour_Per_Conn*(1+Inflation_Rate)^(G6-1)/1000</f>
        <v>-11199.1631726721</v>
      </c>
    </row>
    <row r="16" customFormat="false" ht="15" hidden="false" customHeight="false" outlineLevel="0" collapsed="false">
      <c r="A16" s="5"/>
      <c r="B16" s="39" t="s">
        <v>127</v>
      </c>
      <c r="C16" s="38" t="n">
        <f aca="false">-DR_Total_Rev*Net_Maint_Pct</f>
        <v>-1690400.2512</v>
      </c>
      <c r="D16" s="38" t="n">
        <f aca="false">-DR_Total_Rev*Net_Maint_Pct</f>
        <v>-1758511.29132336</v>
      </c>
      <c r="E16" s="38" t="n">
        <f aca="false">-DR_Total_Rev*Net_Maint_Pct</f>
        <v>-1829367.20636369</v>
      </c>
      <c r="F16" s="38" t="n">
        <f aca="false">-DR_Total_Rev*Net_Maint_Pct</f>
        <v>-1903078.61478015</v>
      </c>
      <c r="G16" s="38" t="n">
        <f aca="false">-DR_Total_Rev*Net_Maint_Pct</f>
        <v>-1979760.59295579</v>
      </c>
    </row>
    <row r="17" customFormat="false" ht="15" hidden="false" customHeight="false" outlineLevel="0" collapsed="false">
      <c r="A17" s="5"/>
      <c r="B17" s="39" t="s">
        <v>130</v>
      </c>
      <c r="C17" s="38" t="n">
        <f aca="false">-DR_Total_Rev*IT_Billing_Pct</f>
        <v>-2253867.0016</v>
      </c>
      <c r="D17" s="38" t="n">
        <f aca="false">-DR_Total_Rev*IT_Billing_Pct</f>
        <v>-2344681.72176448</v>
      </c>
      <c r="E17" s="38" t="n">
        <f aca="false">-DR_Total_Rev*IT_Billing_Pct</f>
        <v>-2439156.27515159</v>
      </c>
      <c r="F17" s="38" t="n">
        <f aca="false">-DR_Total_Rev*IT_Billing_Pct</f>
        <v>-2537438.1530402</v>
      </c>
      <c r="G17" s="38" t="n">
        <f aca="false">-DR_Total_Rev*IT_Billing_Pct</f>
        <v>-2639680.79060772</v>
      </c>
    </row>
    <row r="18" customFormat="false" ht="15" hidden="false" customHeight="false" outlineLevel="0" collapsed="false">
      <c r="A18" s="5"/>
      <c r="B18" s="39" t="s">
        <v>132</v>
      </c>
      <c r="C18" s="38" t="n">
        <f aca="false">-DR_Total_Rev*Insurance_Pct</f>
        <v>-1690400.2512</v>
      </c>
      <c r="D18" s="38" t="n">
        <f aca="false">-DR_Total_Rev*Insurance_Pct</f>
        <v>-1758511.29132336</v>
      </c>
      <c r="E18" s="38" t="n">
        <f aca="false">-DR_Total_Rev*Insurance_Pct</f>
        <v>-1829367.20636369</v>
      </c>
      <c r="F18" s="38" t="n">
        <f aca="false">-DR_Total_Rev*Insurance_Pct</f>
        <v>-1903078.61478015</v>
      </c>
      <c r="G18" s="38" t="n">
        <f aca="false">-DR_Total_Rev*Insurance_Pct</f>
        <v>-1979760.59295579</v>
      </c>
    </row>
    <row r="19" customFormat="false" ht="15" hidden="false" customHeight="false" outlineLevel="0" collapsed="false">
      <c r="A19" s="5"/>
      <c r="B19" s="39" t="s">
        <v>134</v>
      </c>
      <c r="C19" s="38" t="n">
        <f aca="false">-DR_Total_Rev*Reg_Compliance_Pct</f>
        <v>-1126933.5008</v>
      </c>
      <c r="D19" s="38" t="n">
        <f aca="false">-DR_Total_Rev*Reg_Compliance_Pct</f>
        <v>-1172340.86088224</v>
      </c>
      <c r="E19" s="38" t="n">
        <f aca="false">-DR_Total_Rev*Reg_Compliance_Pct</f>
        <v>-1219578.13757579</v>
      </c>
      <c r="F19" s="38" t="n">
        <f aca="false">-DR_Total_Rev*Reg_Compliance_Pct</f>
        <v>-1268719.0765201</v>
      </c>
      <c r="G19" s="38" t="n">
        <f aca="false">-DR_Total_Rev*Reg_Compliance_Pct</f>
        <v>-1319840.39530386</v>
      </c>
    </row>
    <row r="20" customFormat="false" ht="15" hidden="false" customHeight="false" outlineLevel="0" collapsed="false">
      <c r="A20" s="5"/>
      <c r="B20" s="39" t="s">
        <v>217</v>
      </c>
      <c r="C20" s="38" t="n">
        <f aca="false">-DR_Total_Rev*Bad_Debt_Pct</f>
        <v>-845200.1256</v>
      </c>
      <c r="D20" s="38" t="n">
        <f aca="false">-DR_Total_Rev*Bad_Debt_Pct</f>
        <v>-879255.64566168</v>
      </c>
      <c r="E20" s="38" t="n">
        <f aca="false">-DR_Total_Rev*Bad_Debt_Pct</f>
        <v>-914683.603181846</v>
      </c>
      <c r="F20" s="38" t="n">
        <f aca="false">-DR_Total_Rev*Bad_Debt_Pct</f>
        <v>-951539.307390074</v>
      </c>
      <c r="G20" s="38" t="n">
        <f aca="false">-DR_Total_Rev*Bad_Debt_Pct</f>
        <v>-989880.296477894</v>
      </c>
    </row>
    <row r="21" customFormat="false" ht="15" hidden="false" customHeight="false" outlineLevel="0" collapsed="false">
      <c r="A21" s="5"/>
      <c r="B21" s="40" t="s">
        <v>218</v>
      </c>
      <c r="C21" s="41" t="n">
        <f aca="false">SUM(C15:C20)</f>
        <v>-7616551.1304</v>
      </c>
      <c r="D21" s="41" t="n">
        <f aca="false">SUM(D15:D20)</f>
        <v>-7923394.49845512</v>
      </c>
      <c r="E21" s="41" t="n">
        <f aca="false">SUM(E15:E20)</f>
        <v>-8242601.91862099</v>
      </c>
      <c r="F21" s="41" t="n">
        <f aca="false">SUM(F15:F20)</f>
        <v>-8574671.60101699</v>
      </c>
      <c r="G21" s="41" t="n">
        <f aca="false">SUM(G15:G20)</f>
        <v>-8920121.83147372</v>
      </c>
    </row>
    <row r="22" customFormat="false" ht="15" hidden="false" customHeight="false" outlineLevel="0" collapsed="false">
      <c r="A22" s="5"/>
      <c r="B22" s="5"/>
      <c r="C22" s="5"/>
      <c r="D22" s="5"/>
      <c r="E22" s="5"/>
      <c r="F22" s="5"/>
      <c r="G22" s="5"/>
    </row>
    <row r="23" customFormat="false" ht="15" hidden="false" customHeight="false" outlineLevel="0" collapsed="false">
      <c r="A23" s="5"/>
      <c r="B23" s="42" t="s">
        <v>219</v>
      </c>
      <c r="C23" s="43" t="n">
        <f aca="false">C12+C21</f>
        <v>-10412743.1304</v>
      </c>
      <c r="D23" s="43" t="n">
        <f aca="false">D12+D21</f>
        <v>-10747548.4184551</v>
      </c>
      <c r="E23" s="43" t="n">
        <f aca="false">E12+E21</f>
        <v>-11094997.377821</v>
      </c>
      <c r="F23" s="43" t="n">
        <f aca="false">F12+F21</f>
        <v>-11455591.014809</v>
      </c>
      <c r="G23" s="43" t="n">
        <f aca="false">G12+G21</f>
        <v>-11829850.4394036</v>
      </c>
    </row>
    <row r="24" customFormat="false" ht="15" hidden="false" customHeight="false" outlineLevel="0" collapsed="false">
      <c r="A24" s="5"/>
      <c r="B24" s="5"/>
      <c r="C24" s="5"/>
      <c r="D24" s="5"/>
      <c r="E24" s="5"/>
      <c r="F24" s="5"/>
      <c r="G24" s="5"/>
    </row>
    <row r="25" customFormat="false" ht="15" hidden="false" customHeight="false" outlineLevel="0" collapsed="false">
      <c r="A25" s="5"/>
      <c r="B25" s="40" t="s">
        <v>220</v>
      </c>
      <c r="C25" s="41" t="n">
        <f aca="false">DR_Total_Rev+C23</f>
        <v>45933931.9096</v>
      </c>
      <c r="D25" s="41" t="n">
        <f aca="false">DR_Total_Rev+D23</f>
        <v>47869494.6256569</v>
      </c>
      <c r="E25" s="41" t="n">
        <f aca="false">DR_Total_Rev+E23</f>
        <v>49883909.5009687</v>
      </c>
      <c r="F25" s="41" t="n">
        <f aca="false">DR_Total_Rev+F23</f>
        <v>51980362.811196</v>
      </c>
      <c r="G25" s="41" t="n">
        <f aca="false">DR_Total_Rev+G23</f>
        <v>54162169.3257893</v>
      </c>
    </row>
    <row r="26" customFormat="false" ht="15" hidden="false" customHeight="false" outlineLevel="0" collapsed="false">
      <c r="A26" s="5"/>
      <c r="B26" s="39" t="s">
        <v>221</v>
      </c>
      <c r="C26" s="44" t="n">
        <f aca="false">IF(DR_Total_Rev=0,0,C25/DR_Total_Rev)</f>
        <v>0.815202172568158</v>
      </c>
      <c r="D26" s="44" t="n">
        <f aca="false">IF(DR_Total_Rev=0,0,D25/DR_Total_Rev)</f>
        <v>0.816648062401116</v>
      </c>
      <c r="E26" s="44" t="n">
        <f aca="false">IF(DR_Total_Rev=0,0,E25/DR_Total_Rev)</f>
        <v>0.818051881450172</v>
      </c>
      <c r="F26" s="44" t="n">
        <f aca="false">IF(DR_Total_Rev=0,0,F25/DR_Total_Rev)</f>
        <v>0.819414853503584</v>
      </c>
      <c r="G26" s="44" t="n">
        <f aca="false">IF(DR_Total_Rev=0,0,G25/DR_Total_Rev)</f>
        <v>0.820738166804174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222</v>
      </c>
      <c r="C2" s="5"/>
      <c r="D2" s="5"/>
      <c r="E2" s="5"/>
      <c r="F2" s="5"/>
      <c r="G2" s="5"/>
    </row>
    <row r="3" customFormat="false" ht="15" hidden="false" customHeight="false" outlineLevel="0" collapsed="false">
      <c r="A3" s="5"/>
      <c r="B3" s="29" t="s">
        <v>223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224</v>
      </c>
      <c r="C8" s="16"/>
      <c r="D8" s="16"/>
      <c r="E8" s="16"/>
      <c r="F8" s="16"/>
      <c r="G8" s="16"/>
    </row>
    <row r="9" customFormat="false" ht="15" hidden="false" customHeight="false" outlineLevel="0" collapsed="false">
      <c r="A9" s="5"/>
      <c r="B9" s="39" t="s">
        <v>139</v>
      </c>
      <c r="C9" s="38" t="n">
        <f aca="false">DR_Total_Rev*Maint_Capex_Pct</f>
        <v>6761601.0048</v>
      </c>
      <c r="D9" s="38" t="n">
        <f aca="false">DR_Total_Rev*Maint_Capex_Pct</f>
        <v>7034045.16529344</v>
      </c>
      <c r="E9" s="38" t="n">
        <f aca="false">DR_Total_Rev*Maint_Capex_Pct</f>
        <v>7317468.82545477</v>
      </c>
      <c r="F9" s="38" t="n">
        <f aca="false">DR_Total_Rev*Maint_Capex_Pct</f>
        <v>7612314.45912059</v>
      </c>
      <c r="G9" s="38" t="n">
        <f aca="false">DR_Total_Rev*Maint_Capex_Pct</f>
        <v>7919042.37182315</v>
      </c>
    </row>
    <row r="10" customFormat="false" ht="15" hidden="false" customHeight="false" outlineLevel="0" collapsed="false">
      <c r="A10" s="5"/>
      <c r="B10" s="39" t="s">
        <v>141</v>
      </c>
      <c r="C10" s="38" t="n">
        <f aca="false">DR_Total_Rev*Growth_Capex_Pct</f>
        <v>2817333.752</v>
      </c>
      <c r="D10" s="38" t="n">
        <f aca="false">DR_Total_Rev*Growth_Capex_Pct</f>
        <v>2930852.1522056</v>
      </c>
      <c r="E10" s="38" t="n">
        <f aca="false">DR_Total_Rev*Growth_Capex_Pct</f>
        <v>3048945.34393949</v>
      </c>
      <c r="F10" s="38" t="n">
        <f aca="false">DR_Total_Rev*Growth_Capex_Pct</f>
        <v>3171797.69130025</v>
      </c>
      <c r="G10" s="38" t="n">
        <f aca="false">DR_Total_Rev*Growth_Capex_Pct</f>
        <v>3299600.98825965</v>
      </c>
    </row>
    <row r="11" customFormat="false" ht="15" hidden="false" customHeight="false" outlineLevel="0" collapsed="false">
      <c r="A11" s="5"/>
      <c r="B11" s="40" t="s">
        <v>225</v>
      </c>
      <c r="C11" s="41" t="n">
        <f aca="false">C9+C10</f>
        <v>9578934.7568</v>
      </c>
      <c r="D11" s="41" t="n">
        <f aca="false">D9+D10</f>
        <v>9964897.31749904</v>
      </c>
      <c r="E11" s="41" t="n">
        <f aca="false">E9+E10</f>
        <v>10366414.1693943</v>
      </c>
      <c r="F11" s="41" t="n">
        <f aca="false">F9+F10</f>
        <v>10784112.1504208</v>
      </c>
      <c r="G11" s="41" t="n">
        <f aca="false">G9+G10</f>
        <v>11218643.3600828</v>
      </c>
    </row>
    <row r="12" customFormat="false" ht="15" hidden="false" customHeight="false" outlineLevel="0" collapsed="false">
      <c r="A12" s="5"/>
      <c r="B12" s="39" t="s">
        <v>226</v>
      </c>
      <c r="C12" s="38" t="n">
        <f aca="false">C11*Capex_Eligibility</f>
        <v>8621041.28112</v>
      </c>
      <c r="D12" s="38" t="n">
        <f aca="false">D11*Capex_Eligibility</f>
        <v>8968407.58574914</v>
      </c>
      <c r="E12" s="38" t="n">
        <f aca="false">E11*Capex_Eligibility</f>
        <v>9329772.75245483</v>
      </c>
      <c r="F12" s="38" t="n">
        <f aca="false">F11*Capex_Eligibility</f>
        <v>9705700.93537876</v>
      </c>
      <c r="G12" s="38" t="n">
        <f aca="false">G11*Capex_Eligibility</f>
        <v>10096779.0240745</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227</v>
      </c>
      <c r="C14" s="16"/>
      <c r="D14" s="16"/>
      <c r="E14" s="16"/>
      <c r="F14" s="16"/>
      <c r="G14" s="16"/>
    </row>
    <row r="15" customFormat="false" ht="15" hidden="false" customHeight="false" outlineLevel="0" collapsed="false">
      <c r="A15" s="5"/>
      <c r="B15" s="7" t="s">
        <v>161</v>
      </c>
      <c r="C15" s="38" t="n">
        <f aca="false">Opening_RAB</f>
        <v>500000</v>
      </c>
      <c r="D15" s="38" t="n">
        <f aca="false">C19</f>
        <v>9113541.28112</v>
      </c>
      <c r="E15" s="38" t="n">
        <f aca="false">D19</f>
        <v>17945245.7476523</v>
      </c>
      <c r="F15" s="38" t="n">
        <f aca="false">E19</f>
        <v>27005839.8138924</v>
      </c>
      <c r="G15" s="38" t="n">
        <f aca="false">F19</f>
        <v>36306453.1520627</v>
      </c>
    </row>
    <row r="16" customFormat="false" ht="15" hidden="false" customHeight="false" outlineLevel="0" collapsed="false">
      <c r="A16" s="5"/>
      <c r="B16" s="39" t="s">
        <v>228</v>
      </c>
      <c r="C16" s="38" t="n">
        <f aca="false">C12</f>
        <v>8621041.28112</v>
      </c>
      <c r="D16" s="38" t="n">
        <f aca="false">D12</f>
        <v>8968407.58574914</v>
      </c>
      <c r="E16" s="38" t="n">
        <f aca="false">E12</f>
        <v>9329772.75245483</v>
      </c>
      <c r="F16" s="38" t="n">
        <f aca="false">F12</f>
        <v>9705700.93537876</v>
      </c>
      <c r="G16" s="38" t="n">
        <f aca="false">G12</f>
        <v>10096779.0240745</v>
      </c>
    </row>
    <row r="17" customFormat="false" ht="15" hidden="false" customHeight="false" outlineLevel="0" collapsed="false">
      <c r="A17" s="5"/>
      <c r="B17" s="39" t="s">
        <v>229</v>
      </c>
      <c r="C17" s="38" t="n">
        <f aca="false">-C15*Reg_Depr_Rate</f>
        <v>-20000</v>
      </c>
      <c r="D17" s="38" t="n">
        <f aca="false">-D15*Reg_Depr_Rate</f>
        <v>-364541.6512448</v>
      </c>
      <c r="E17" s="38" t="n">
        <f aca="false">-E15*Reg_Depr_Rate</f>
        <v>-717809.829906094</v>
      </c>
      <c r="F17" s="38" t="n">
        <f aca="false">-F15*Reg_Depr_Rate</f>
        <v>-1080233.5925557</v>
      </c>
      <c r="G17" s="38" t="n">
        <f aca="false">-G15*Reg_Depr_Rate</f>
        <v>-1452258.12608251</v>
      </c>
    </row>
    <row r="18" customFormat="false" ht="15" hidden="false" customHeight="false" outlineLevel="0" collapsed="false">
      <c r="A18" s="5"/>
      <c r="B18" s="39" t="s">
        <v>230</v>
      </c>
      <c r="C18" s="38" t="n">
        <f aca="false">C15*Inflation_Rate</f>
        <v>12500</v>
      </c>
      <c r="D18" s="38" t="n">
        <f aca="false">D15*Inflation_Rate</f>
        <v>227838.532028</v>
      </c>
      <c r="E18" s="38" t="n">
        <f aca="false">E15*Inflation_Rate</f>
        <v>448631.143691308</v>
      </c>
      <c r="F18" s="38" t="n">
        <f aca="false">F15*Inflation_Rate</f>
        <v>675145.99534731</v>
      </c>
      <c r="G18" s="38" t="n">
        <f aca="false">G15*Inflation_Rate</f>
        <v>907661.328801569</v>
      </c>
    </row>
    <row r="19" customFormat="false" ht="15" hidden="false" customHeight="false" outlineLevel="0" collapsed="false">
      <c r="A19" s="5"/>
      <c r="B19" s="42" t="s">
        <v>231</v>
      </c>
      <c r="C19" s="43" t="n">
        <f aca="false">C15+C16+C17+C18</f>
        <v>9113541.28112</v>
      </c>
      <c r="D19" s="43" t="n">
        <f aca="false">D15+D16+D17+D18</f>
        <v>17945245.7476523</v>
      </c>
      <c r="E19" s="43" t="n">
        <f aca="false">E15+E16+E17+E18</f>
        <v>27005839.8138924</v>
      </c>
      <c r="F19" s="43" t="n">
        <f aca="false">F15+F16+F17+F18</f>
        <v>36306453.1520627</v>
      </c>
      <c r="G19" s="43" t="n">
        <f aca="false">G15+G16+G17+G18</f>
        <v>45858635.3788563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232</v>
      </c>
      <c r="C2" s="5"/>
      <c r="D2" s="5"/>
      <c r="E2" s="5"/>
      <c r="F2" s="5"/>
      <c r="G2" s="5"/>
    </row>
    <row r="3" customFormat="false" ht="15" hidden="false" customHeight="false" outlineLevel="0" collapsed="false">
      <c r="A3" s="5"/>
      <c r="B3" s="29" t="s">
        <v>233</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234</v>
      </c>
      <c r="C8" s="16"/>
      <c r="D8" s="16"/>
      <c r="E8" s="16"/>
      <c r="F8" s="16"/>
      <c r="G8" s="16"/>
    </row>
    <row r="9" customFormat="false" ht="15" hidden="false" customHeight="false" outlineLevel="0" collapsed="false">
      <c r="A9" s="5"/>
      <c r="B9" s="39" t="s">
        <v>235</v>
      </c>
      <c r="C9" s="38" t="n">
        <f aca="false">Open_Gross_Pipe</f>
        <v>350000</v>
      </c>
      <c r="D9" s="38" t="n">
        <f aca="false">C11</f>
        <v>4660520.64056</v>
      </c>
      <c r="E9" s="38" t="n">
        <f aca="false">D11</f>
        <v>9144724.43343457</v>
      </c>
      <c r="F9" s="38" t="n">
        <f aca="false">E11</f>
        <v>13809610.809662</v>
      </c>
      <c r="G9" s="38" t="n">
        <f aca="false">F11</f>
        <v>18662461.2773514</v>
      </c>
    </row>
    <row r="10" customFormat="false" ht="15" hidden="false" customHeight="false" outlineLevel="0" collapsed="false">
      <c r="A10" s="5"/>
      <c r="B10" s="39" t="s">
        <v>236</v>
      </c>
      <c r="C10" s="38" t="n">
        <f aca="false">CR_Total_Capex*Mix_Pipe</f>
        <v>4310520.64056</v>
      </c>
      <c r="D10" s="38" t="n">
        <f aca="false">CR_Total_Capex*Mix_Pipe</f>
        <v>4484203.79287457</v>
      </c>
      <c r="E10" s="38" t="n">
        <f aca="false">CR_Total_Capex*Mix_Pipe</f>
        <v>4664886.37622741</v>
      </c>
      <c r="F10" s="38" t="n">
        <f aca="false">CR_Total_Capex*Mix_Pipe</f>
        <v>4852850.46768938</v>
      </c>
      <c r="G10" s="38" t="n">
        <f aca="false">CR_Total_Capex*Mix_Pipe</f>
        <v>5048389.51203726</v>
      </c>
    </row>
    <row r="11" customFormat="false" ht="15" hidden="false" customHeight="false" outlineLevel="0" collapsed="false">
      <c r="A11" s="5"/>
      <c r="B11" s="45" t="s">
        <v>237</v>
      </c>
      <c r="C11" s="41" t="n">
        <f aca="false">C9+C10</f>
        <v>4660520.64056</v>
      </c>
      <c r="D11" s="41" t="n">
        <f aca="false">D9+D10</f>
        <v>9144724.43343457</v>
      </c>
      <c r="E11" s="41" t="n">
        <f aca="false">E9+E10</f>
        <v>13809610.809662</v>
      </c>
      <c r="F11" s="41" t="n">
        <f aca="false">F9+F10</f>
        <v>18662461.2773514</v>
      </c>
      <c r="G11" s="41" t="n">
        <f aca="false">G9+G10</f>
        <v>23710850.7893886</v>
      </c>
    </row>
    <row r="12" customFormat="false" ht="15" hidden="false" customHeight="false" outlineLevel="0" collapsed="false">
      <c r="A12" s="5"/>
      <c r="B12" s="39" t="s">
        <v>14</v>
      </c>
      <c r="C12" s="38" t="n">
        <f aca="false">-C11/Life_Pipe</f>
        <v>-62140.2752074667</v>
      </c>
      <c r="D12" s="38" t="n">
        <f aca="false">-D11/Life_Pipe</f>
        <v>-121929.659112461</v>
      </c>
      <c r="E12" s="38" t="n">
        <f aca="false">-E11/Life_Pipe</f>
        <v>-184128.144128826</v>
      </c>
      <c r="F12" s="38" t="n">
        <f aca="false">-F11/Life_Pipe</f>
        <v>-248832.817031351</v>
      </c>
      <c r="G12" s="38" t="n">
        <f aca="false">-G11/Life_Pipe</f>
        <v>-316144.677191848</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238</v>
      </c>
      <c r="C14" s="16"/>
      <c r="D14" s="16"/>
      <c r="E14" s="16"/>
      <c r="F14" s="16"/>
      <c r="G14" s="16"/>
    </row>
    <row r="15" customFormat="false" ht="15" hidden="false" customHeight="false" outlineLevel="0" collapsed="false">
      <c r="A15" s="5"/>
      <c r="B15" s="39" t="s">
        <v>235</v>
      </c>
      <c r="C15" s="38" t="n">
        <f aca="false">Open_Gross_Plant</f>
        <v>200000</v>
      </c>
      <c r="D15" s="38" t="n">
        <f aca="false">C17</f>
        <v>3073680.42704</v>
      </c>
      <c r="E15" s="38" t="n">
        <f aca="false">D17</f>
        <v>6063149.62228971</v>
      </c>
      <c r="F15" s="38" t="n">
        <f aca="false">E17</f>
        <v>9173073.87310799</v>
      </c>
      <c r="G15" s="38" t="n">
        <f aca="false">F17</f>
        <v>12408307.5182342</v>
      </c>
    </row>
    <row r="16" customFormat="false" ht="15" hidden="false" customHeight="false" outlineLevel="0" collapsed="false">
      <c r="A16" s="5"/>
      <c r="B16" s="39" t="s">
        <v>236</v>
      </c>
      <c r="C16" s="38" t="n">
        <f aca="false">CR_Total_Capex*Mix_Plant</f>
        <v>2873680.42704</v>
      </c>
      <c r="D16" s="38" t="n">
        <f aca="false">CR_Total_Capex*Mix_Plant</f>
        <v>2989469.19524971</v>
      </c>
      <c r="E16" s="38" t="n">
        <f aca="false">CR_Total_Capex*Mix_Plant</f>
        <v>3109924.25081828</v>
      </c>
      <c r="F16" s="38" t="n">
        <f aca="false">CR_Total_Capex*Mix_Plant</f>
        <v>3235233.64512625</v>
      </c>
      <c r="G16" s="38" t="n">
        <f aca="false">CR_Total_Capex*Mix_Plant</f>
        <v>3365593.00802484</v>
      </c>
    </row>
    <row r="17" customFormat="false" ht="15" hidden="false" customHeight="false" outlineLevel="0" collapsed="false">
      <c r="A17" s="5"/>
      <c r="B17" s="45" t="s">
        <v>237</v>
      </c>
      <c r="C17" s="41" t="n">
        <f aca="false">C15+C16</f>
        <v>3073680.42704</v>
      </c>
      <c r="D17" s="41" t="n">
        <f aca="false">D15+D16</f>
        <v>6063149.62228971</v>
      </c>
      <c r="E17" s="41" t="n">
        <f aca="false">E15+E16</f>
        <v>9173073.87310799</v>
      </c>
      <c r="F17" s="41" t="n">
        <f aca="false">F15+F16</f>
        <v>12408307.5182342</v>
      </c>
      <c r="G17" s="41" t="n">
        <f aca="false">G15+G16</f>
        <v>15773900.5262591</v>
      </c>
    </row>
    <row r="18" customFormat="false" ht="15" hidden="false" customHeight="false" outlineLevel="0" collapsed="false">
      <c r="A18" s="5"/>
      <c r="B18" s="39" t="s">
        <v>14</v>
      </c>
      <c r="C18" s="38" t="n">
        <f aca="false">-C17/Life_Plant</f>
        <v>-102456.014234667</v>
      </c>
      <c r="D18" s="38" t="n">
        <f aca="false">-D17/Life_Plant</f>
        <v>-202104.987409657</v>
      </c>
      <c r="E18" s="38" t="n">
        <f aca="false">-E17/Life_Plant</f>
        <v>-305769.1291036</v>
      </c>
      <c r="F18" s="38" t="n">
        <f aca="false">-F17/Life_Plant</f>
        <v>-413610.250607808</v>
      </c>
      <c r="G18" s="38" t="n">
        <f aca="false">-G17/Life_Plant</f>
        <v>-525796.684208636</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2" t="s">
        <v>239</v>
      </c>
      <c r="C20" s="16"/>
      <c r="D20" s="16"/>
      <c r="E20" s="16"/>
      <c r="F20" s="16"/>
      <c r="G20" s="16"/>
    </row>
    <row r="21" customFormat="false" ht="15" hidden="false" customHeight="false" outlineLevel="0" collapsed="false">
      <c r="A21" s="5"/>
      <c r="B21" s="39" t="s">
        <v>235</v>
      </c>
      <c r="C21" s="38" t="n">
        <f aca="false">Open_Gross_Equip</f>
        <v>80000</v>
      </c>
      <c r="D21" s="38" t="n">
        <f aca="false">C23</f>
        <v>1516840.21352</v>
      </c>
      <c r="E21" s="38" t="n">
        <f aca="false">D23</f>
        <v>3011574.81114486</v>
      </c>
      <c r="F21" s="38" t="n">
        <f aca="false">E23</f>
        <v>4566536.93655399</v>
      </c>
      <c r="G21" s="38" t="n">
        <f aca="false">F23</f>
        <v>6184153.75911712</v>
      </c>
    </row>
    <row r="22" customFormat="false" ht="15" hidden="false" customHeight="false" outlineLevel="0" collapsed="false">
      <c r="A22" s="5"/>
      <c r="B22" s="39" t="s">
        <v>236</v>
      </c>
      <c r="C22" s="38" t="n">
        <f aca="false">CR_Total_Capex*Mix_Equip</f>
        <v>1436840.21352</v>
      </c>
      <c r="D22" s="38" t="n">
        <f aca="false">CR_Total_Capex*Mix_Equip</f>
        <v>1494734.59762486</v>
      </c>
      <c r="E22" s="38" t="n">
        <f aca="false">CR_Total_Capex*Mix_Equip</f>
        <v>1554962.12540914</v>
      </c>
      <c r="F22" s="38" t="n">
        <f aca="false">CR_Total_Capex*Mix_Equip</f>
        <v>1617616.82256313</v>
      </c>
      <c r="G22" s="38" t="n">
        <f aca="false">CR_Total_Capex*Mix_Equip</f>
        <v>1682796.50401242</v>
      </c>
    </row>
    <row r="23" customFormat="false" ht="15" hidden="false" customHeight="false" outlineLevel="0" collapsed="false">
      <c r="A23" s="5"/>
      <c r="B23" s="45" t="s">
        <v>237</v>
      </c>
      <c r="C23" s="41" t="n">
        <f aca="false">C21+C22</f>
        <v>1516840.21352</v>
      </c>
      <c r="D23" s="41" t="n">
        <f aca="false">D21+D22</f>
        <v>3011574.81114486</v>
      </c>
      <c r="E23" s="41" t="n">
        <f aca="false">E21+E22</f>
        <v>4566536.93655399</v>
      </c>
      <c r="F23" s="41" t="n">
        <f aca="false">F21+F22</f>
        <v>6184153.75911712</v>
      </c>
      <c r="G23" s="41" t="n">
        <f aca="false">G21+G22</f>
        <v>7866950.26312954</v>
      </c>
    </row>
    <row r="24" customFormat="false" ht="15" hidden="false" customHeight="false" outlineLevel="0" collapsed="false">
      <c r="A24" s="5"/>
      <c r="B24" s="39" t="s">
        <v>14</v>
      </c>
      <c r="C24" s="38" t="n">
        <f aca="false">-C23/Life_Equip</f>
        <v>-126403.351126667</v>
      </c>
      <c r="D24" s="38" t="n">
        <f aca="false">-D23/Life_Equip</f>
        <v>-250964.567595405</v>
      </c>
      <c r="E24" s="38" t="n">
        <f aca="false">-E23/Life_Equip</f>
        <v>-380544.744712833</v>
      </c>
      <c r="F24" s="38" t="n">
        <f aca="false">-F23/Life_Equip</f>
        <v>-515346.146593093</v>
      </c>
      <c r="G24" s="38" t="n">
        <f aca="false">-G23/Life_Equip</f>
        <v>-655579.188594128</v>
      </c>
    </row>
    <row r="25" customFormat="false" ht="15" hidden="false" customHeight="false" outlineLevel="0" collapsed="false">
      <c r="A25" s="5"/>
      <c r="B25" s="5"/>
      <c r="C25" s="5"/>
      <c r="D25" s="5"/>
      <c r="E25" s="5"/>
      <c r="F25" s="5"/>
      <c r="G25" s="5"/>
    </row>
    <row r="26" customFormat="false" ht="15" hidden="false" customHeight="false" outlineLevel="0" collapsed="false">
      <c r="A26" s="5"/>
      <c r="B26" s="32" t="s">
        <v>240</v>
      </c>
      <c r="C26" s="16"/>
      <c r="D26" s="16"/>
      <c r="E26" s="16"/>
      <c r="F26" s="16"/>
      <c r="G26" s="16"/>
    </row>
    <row r="27" customFormat="false" ht="15" hidden="false" customHeight="false" outlineLevel="0" collapsed="false">
      <c r="A27" s="5"/>
      <c r="B27" s="39" t="s">
        <v>235</v>
      </c>
      <c r="C27" s="38" t="n">
        <f aca="false">Open_Gross_IT</f>
        <v>20000</v>
      </c>
      <c r="D27" s="38" t="n">
        <f aca="false">C29</f>
        <v>977893.47568</v>
      </c>
      <c r="E27" s="38" t="n">
        <f aca="false">D29</f>
        <v>1974383.2074299</v>
      </c>
      <c r="F27" s="38" t="n">
        <f aca="false">E29</f>
        <v>3011024.62436933</v>
      </c>
      <c r="G27" s="38" t="n">
        <f aca="false">F29</f>
        <v>4089435.83941141</v>
      </c>
    </row>
    <row r="28" customFormat="false" ht="15" hidden="false" customHeight="false" outlineLevel="0" collapsed="false">
      <c r="A28" s="5"/>
      <c r="B28" s="39" t="s">
        <v>236</v>
      </c>
      <c r="C28" s="38" t="n">
        <f aca="false">CR_Total_Capex*Mix_IT</f>
        <v>957893.47568</v>
      </c>
      <c r="D28" s="38" t="n">
        <f aca="false">CR_Total_Capex*Mix_IT</f>
        <v>996489.731749904</v>
      </c>
      <c r="E28" s="38" t="n">
        <f aca="false">CR_Total_Capex*Mix_IT</f>
        <v>1036641.41693943</v>
      </c>
      <c r="F28" s="38" t="n">
        <f aca="false">CR_Total_Capex*Mix_IT</f>
        <v>1078411.21504208</v>
      </c>
      <c r="G28" s="38" t="n">
        <f aca="false">CR_Total_Capex*Mix_IT</f>
        <v>1121864.33600828</v>
      </c>
    </row>
    <row r="29" customFormat="false" ht="15" hidden="false" customHeight="false" outlineLevel="0" collapsed="false">
      <c r="A29" s="5"/>
      <c r="B29" s="45" t="s">
        <v>237</v>
      </c>
      <c r="C29" s="41" t="n">
        <f aca="false">C27+C28</f>
        <v>977893.47568</v>
      </c>
      <c r="D29" s="41" t="n">
        <f aca="false">D27+D28</f>
        <v>1974383.2074299</v>
      </c>
      <c r="E29" s="41" t="n">
        <f aca="false">E27+E28</f>
        <v>3011024.62436933</v>
      </c>
      <c r="F29" s="41" t="n">
        <f aca="false">F27+F28</f>
        <v>4089435.83941141</v>
      </c>
      <c r="G29" s="41" t="n">
        <f aca="false">G27+G28</f>
        <v>5211300.17541969</v>
      </c>
    </row>
    <row r="30" customFormat="false" ht="15" hidden="false" customHeight="false" outlineLevel="0" collapsed="false">
      <c r="A30" s="5"/>
      <c r="B30" s="39" t="s">
        <v>14</v>
      </c>
      <c r="C30" s="38" t="n">
        <f aca="false">-C29/Life_IT</f>
        <v>-195578.695136</v>
      </c>
      <c r="D30" s="38" t="n">
        <f aca="false">-D29/Life_IT</f>
        <v>-394876.641485981</v>
      </c>
      <c r="E30" s="38" t="n">
        <f aca="false">-E29/Life_IT</f>
        <v>-602204.924873866</v>
      </c>
      <c r="F30" s="38" t="n">
        <f aca="false">-F29/Life_IT</f>
        <v>-817887.167882283</v>
      </c>
      <c r="G30" s="38" t="n">
        <f aca="false">-G29/Life_IT</f>
        <v>-1042260.03508394</v>
      </c>
    </row>
    <row r="31" customFormat="false" ht="15" hidden="false" customHeight="false" outlineLevel="0" collapsed="false">
      <c r="A31" s="5"/>
      <c r="B31" s="5"/>
      <c r="C31" s="5"/>
      <c r="D31" s="5"/>
      <c r="E31" s="5"/>
      <c r="F31" s="5"/>
      <c r="G31" s="5"/>
    </row>
    <row r="32" customFormat="false" ht="15" hidden="false" customHeight="false" outlineLevel="0" collapsed="false">
      <c r="A32" s="5"/>
      <c r="B32" s="32" t="s">
        <v>241</v>
      </c>
      <c r="C32" s="16"/>
      <c r="D32" s="16"/>
      <c r="E32" s="16"/>
      <c r="F32" s="16"/>
      <c r="G32" s="16"/>
    </row>
    <row r="33" customFormat="false" ht="15" hidden="false" customHeight="false" outlineLevel="0" collapsed="false">
      <c r="A33" s="5"/>
      <c r="B33" s="46" t="s">
        <v>242</v>
      </c>
      <c r="C33" s="47" t="n">
        <f aca="false">C11+C17+C23+C29</f>
        <v>10228934.7568</v>
      </c>
      <c r="D33" s="47" t="n">
        <f aca="false">D11+D17+D23+D29</f>
        <v>20193832.074299</v>
      </c>
      <c r="E33" s="47" t="n">
        <f aca="false">E11+E17+E23+E29</f>
        <v>30560246.2436933</v>
      </c>
      <c r="F33" s="47" t="n">
        <f aca="false">F11+F17+F23+F29</f>
        <v>41344358.3941141</v>
      </c>
      <c r="G33" s="47" t="n">
        <f aca="false">G11+G17+G23+G29</f>
        <v>52563001.7541969</v>
      </c>
    </row>
    <row r="34" customFormat="false" ht="15" hidden="false" customHeight="false" outlineLevel="0" collapsed="false">
      <c r="A34" s="5"/>
      <c r="B34" s="40" t="s">
        <v>243</v>
      </c>
      <c r="C34" s="41" t="n">
        <f aca="false">C12+C18+C24+C30</f>
        <v>-486578.3357048</v>
      </c>
      <c r="D34" s="41" t="n">
        <f aca="false">D12+D18+D24+D30</f>
        <v>-969875.855603503</v>
      </c>
      <c r="E34" s="41" t="n">
        <f aca="false">E12+E18+E24+E30</f>
        <v>-1472646.94281912</v>
      </c>
      <c r="F34" s="41" t="n">
        <f aca="false">F12+F18+F24+F30</f>
        <v>-1995676.38211454</v>
      </c>
      <c r="G34" s="41" t="n">
        <f aca="false">G12+G18+G24+G30</f>
        <v>-2539780.58507855</v>
      </c>
    </row>
    <row r="35" customFormat="false" ht="15" hidden="false" customHeight="false" outlineLevel="0" collapsed="false">
      <c r="A35" s="5"/>
      <c r="B35" s="42" t="s">
        <v>244</v>
      </c>
      <c r="C35" s="43" t="n">
        <f aca="false">C33-Open_Accum_Depr+C34</f>
        <v>9592356.4210952</v>
      </c>
      <c r="D35" s="43" t="n">
        <f aca="false">C35+(D33-C33)+D34</f>
        <v>18587377.8829907</v>
      </c>
      <c r="E35" s="43" t="n">
        <f aca="false">D35+(E33-D33)+E34</f>
        <v>27481145.1095659</v>
      </c>
      <c r="F35" s="43" t="n">
        <f aca="false">E35+(F33-E33)+F34</f>
        <v>36269580.8778722</v>
      </c>
      <c r="G35" s="43" t="n">
        <f aca="false">F35+(G33-F33)+G34</f>
        <v>44948443.6528764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245</v>
      </c>
      <c r="C2" s="5"/>
      <c r="D2" s="5"/>
      <c r="E2" s="5"/>
      <c r="F2" s="5"/>
      <c r="G2" s="5"/>
    </row>
    <row r="3" customFormat="false" ht="15" hidden="false" customHeight="false" outlineLevel="0" collapsed="false">
      <c r="A3" s="5"/>
      <c r="B3" s="29" t="s">
        <v>17</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246</v>
      </c>
      <c r="C8" s="16"/>
      <c r="D8" s="16"/>
      <c r="E8" s="16"/>
      <c r="F8" s="16"/>
      <c r="G8" s="16"/>
    </row>
    <row r="9" customFormat="false" ht="15" hidden="false" customHeight="false" outlineLevel="0" collapsed="false">
      <c r="A9" s="5"/>
      <c r="B9" s="39" t="s">
        <v>247</v>
      </c>
      <c r="C9" s="38" t="n">
        <f aca="false">DR_Total_Rev*DSO_Days/365</f>
        <v>5403105.82575343</v>
      </c>
      <c r="D9" s="38" t="n">
        <f aca="false">DR_Total_Rev*DSO_Days/365</f>
        <v>5620812.34669567</v>
      </c>
      <c r="E9" s="38" t="n">
        <f aca="false">DR_Total_Rev*DSO_Days/365</f>
        <v>5847292.44043189</v>
      </c>
      <c r="F9" s="38" t="n">
        <f aca="false">DR_Total_Rev*DSO_Days/365</f>
        <v>6082899.68194568</v>
      </c>
      <c r="G9" s="38" t="n">
        <f aca="false">DR_Total_Rev*DSO_Days/365</f>
        <v>6328001.89529247</v>
      </c>
    </row>
    <row r="10" customFormat="false" ht="15" hidden="false" customHeight="false" outlineLevel="0" collapsed="false">
      <c r="A10" s="5"/>
      <c r="B10" s="5"/>
      <c r="C10" s="5"/>
      <c r="D10" s="5"/>
      <c r="E10" s="5"/>
      <c r="F10" s="5"/>
      <c r="G10" s="5"/>
    </row>
    <row r="11" customFormat="false" ht="15" hidden="false" customHeight="false" outlineLevel="0" collapsed="false">
      <c r="A11" s="5"/>
      <c r="B11" s="32" t="s">
        <v>248</v>
      </c>
      <c r="C11" s="16"/>
      <c r="D11" s="16"/>
      <c r="E11" s="16"/>
      <c r="F11" s="16"/>
      <c r="G11" s="16"/>
    </row>
    <row r="12" customFormat="false" ht="15" hidden="false" customHeight="false" outlineLevel="0" collapsed="false">
      <c r="A12" s="5"/>
      <c r="B12" s="39" t="s">
        <v>249</v>
      </c>
      <c r="C12" s="38" t="n">
        <f aca="false">-OX_Total_Opex*DPO_Days/365</f>
        <v>1141122.53483836</v>
      </c>
      <c r="D12" s="38" t="n">
        <f aca="false">-OX_Total_Opex*DPO_Days/365</f>
        <v>1177813.52531015</v>
      </c>
      <c r="E12" s="38" t="n">
        <f aca="false">-OX_Total_Opex*DPO_Days/365</f>
        <v>1215890.12359682</v>
      </c>
      <c r="F12" s="38" t="n">
        <f aca="false">-OX_Total_Opex*DPO_Days/365</f>
        <v>1255407.23449962</v>
      </c>
      <c r="G12" s="38" t="n">
        <f aca="false">-OX_Total_Opex*DPO_Days/365</f>
        <v>1296421.96596204</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250</v>
      </c>
      <c r="C14" s="16"/>
      <c r="D14" s="16"/>
      <c r="E14" s="16"/>
      <c r="F14" s="16"/>
      <c r="G14" s="16"/>
    </row>
    <row r="15" customFormat="false" ht="15" hidden="false" customHeight="false" outlineLevel="0" collapsed="false">
      <c r="A15" s="5"/>
      <c r="B15" s="39" t="s">
        <v>251</v>
      </c>
      <c r="C15" s="38" t="n">
        <f aca="false">-OX_Total_Var*DIO_Days/365</f>
        <v>153216</v>
      </c>
      <c r="D15" s="38" t="n">
        <f aca="false">-OX_Total_Var*DIO_Days/365</f>
        <v>154748.16</v>
      </c>
      <c r="E15" s="38" t="n">
        <f aca="false">-OX_Total_Var*DIO_Days/365</f>
        <v>156295.6416</v>
      </c>
      <c r="F15" s="38" t="n">
        <f aca="false">-OX_Total_Var*DIO_Days/365</f>
        <v>157858.598016</v>
      </c>
      <c r="G15" s="38" t="n">
        <f aca="false">-OX_Total_Var*DIO_Days/365</f>
        <v>159437.18399616</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40" t="s">
        <v>252</v>
      </c>
      <c r="C17" s="41" t="n">
        <f aca="false">C9+C15-C12</f>
        <v>4415199.29091507</v>
      </c>
      <c r="D17" s="41" t="n">
        <f aca="false">D9+D15-D12</f>
        <v>4597746.98138552</v>
      </c>
      <c r="E17" s="41" t="n">
        <f aca="false">E9+E15-E12</f>
        <v>4787697.95843507</v>
      </c>
      <c r="F17" s="41" t="n">
        <f aca="false">F9+F15-F12</f>
        <v>4985351.04546206</v>
      </c>
      <c r="G17" s="41" t="n">
        <f aca="false">G9+G15-G12</f>
        <v>5191017.11332659</v>
      </c>
    </row>
    <row r="18" customFormat="false" ht="15" hidden="false" customHeight="false" outlineLevel="0" collapsed="false">
      <c r="A18" s="5"/>
      <c r="B18" s="42" t="s">
        <v>253</v>
      </c>
      <c r="C18" s="43" t="n">
        <f aca="false">-C17</f>
        <v>-4415199.29091507</v>
      </c>
      <c r="D18" s="43" t="n">
        <f aca="false">-(D17-C17)</f>
        <v>-182547.690470452</v>
      </c>
      <c r="E18" s="43" t="n">
        <f aca="false">-(E17-D17)</f>
        <v>-189950.977049549</v>
      </c>
      <c r="F18" s="43" t="n">
        <f aca="false">-(F17-E17)</f>
        <v>-197653.087026995</v>
      </c>
      <c r="G18" s="43" t="n">
        <f aca="false">-(G17-F17)</f>
        <v>-205666.067864526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5"/>
      <c r="B1" s="5"/>
      <c r="C1" s="5"/>
      <c r="D1" s="5"/>
      <c r="E1" s="5"/>
      <c r="F1" s="5"/>
      <c r="G1" s="5"/>
    </row>
    <row r="2" customFormat="false" ht="22.05" hidden="false" customHeight="false" outlineLevel="0" collapsed="false">
      <c r="A2" s="5"/>
      <c r="B2" s="28" t="s">
        <v>254</v>
      </c>
      <c r="C2" s="5"/>
      <c r="D2" s="5"/>
      <c r="E2" s="5"/>
      <c r="F2" s="5"/>
      <c r="G2" s="5"/>
    </row>
    <row r="3" customFormat="false" ht="15" hidden="false" customHeight="false" outlineLevel="0" collapsed="false">
      <c r="A3" s="5"/>
      <c r="B3" s="29" t="s">
        <v>255</v>
      </c>
      <c r="C3" s="5"/>
      <c r="D3" s="5"/>
      <c r="E3" s="5"/>
      <c r="F3" s="5"/>
      <c r="G3" s="5"/>
    </row>
    <row r="4" customFormat="false" ht="15" hidden="false" customHeight="false" outlineLevel="0" collapsed="false">
      <c r="A4" s="5"/>
      <c r="B4" s="5"/>
      <c r="C4" s="5"/>
      <c r="D4" s="5"/>
      <c r="E4" s="5"/>
      <c r="F4" s="5"/>
      <c r="G4" s="5"/>
    </row>
    <row r="5" customFormat="false" ht="15" hidden="false" customHeight="false" outlineLevel="0" collapsed="false">
      <c r="A5" s="5"/>
      <c r="B5" s="30" t="s">
        <v>192</v>
      </c>
      <c r="C5" s="36" t="n">
        <f aca="false">2025+0</f>
        <v>2025</v>
      </c>
      <c r="D5" s="36" t="n">
        <f aca="false">2025+1</f>
        <v>2026</v>
      </c>
      <c r="E5" s="36" t="n">
        <f aca="false">2025+2</f>
        <v>2027</v>
      </c>
      <c r="F5" s="36" t="n">
        <f aca="false">2025+3</f>
        <v>2028</v>
      </c>
      <c r="G5" s="36" t="n">
        <f aca="false">2025+4</f>
        <v>2029</v>
      </c>
    </row>
    <row r="6" customFormat="false" ht="15" hidden="false" customHeight="false" outlineLevel="0" collapsed="false">
      <c r="A6" s="5"/>
      <c r="B6" s="8" t="s">
        <v>193</v>
      </c>
      <c r="C6" s="37" t="n">
        <f aca="false">COLUMN(C1)-2</f>
        <v>1</v>
      </c>
      <c r="D6" s="37" t="n">
        <f aca="false">COLUMN(D1)-2</f>
        <v>2</v>
      </c>
      <c r="E6" s="37" t="n">
        <f aca="false">COLUMN(E1)-2</f>
        <v>3</v>
      </c>
      <c r="F6" s="37" t="n">
        <f aca="false">COLUMN(F1)-2</f>
        <v>4</v>
      </c>
      <c r="G6" s="37" t="n">
        <f aca="false">COLUMN(G1)-2</f>
        <v>5</v>
      </c>
    </row>
    <row r="7" customFormat="false" ht="15" hidden="false" customHeight="false" outlineLevel="0" collapsed="false">
      <c r="A7" s="5"/>
      <c r="B7" s="5"/>
      <c r="C7" s="5"/>
      <c r="D7" s="5"/>
      <c r="E7" s="5"/>
      <c r="F7" s="5"/>
      <c r="G7" s="5"/>
    </row>
    <row r="8" customFormat="false" ht="15" hidden="false" customHeight="false" outlineLevel="0" collapsed="false">
      <c r="A8" s="5"/>
      <c r="B8" s="32" t="s">
        <v>256</v>
      </c>
      <c r="C8" s="16"/>
      <c r="D8" s="16"/>
      <c r="E8" s="16"/>
      <c r="F8" s="16"/>
      <c r="G8" s="16"/>
    </row>
    <row r="9" customFormat="false" ht="15" hidden="false" customHeight="false" outlineLevel="0" collapsed="false">
      <c r="A9" s="5"/>
      <c r="B9" s="7" t="s">
        <v>257</v>
      </c>
      <c r="C9" s="38" t="n">
        <f aca="false">Debt_RAB_Target*Opening_RAB</f>
        <v>325000</v>
      </c>
      <c r="D9" s="38" t="n">
        <f aca="false">C12</f>
        <v>5923801.832728</v>
      </c>
      <c r="E9" s="38" t="n">
        <f aca="false">D12</f>
        <v>11664409.735974</v>
      </c>
      <c r="F9" s="38" t="n">
        <f aca="false">E12</f>
        <v>17553795.8790301</v>
      </c>
      <c r="G9" s="38" t="n">
        <f aca="false">F12</f>
        <v>23599194.5488408</v>
      </c>
    </row>
    <row r="10" customFormat="false" ht="15" hidden="false" customHeight="false" outlineLevel="0" collapsed="false">
      <c r="A10" s="5"/>
      <c r="B10" s="39" t="s">
        <v>258</v>
      </c>
      <c r="C10" s="38" t="n">
        <f aca="false">MAX(0,Debt_RAB_Target*CR_RAB_Close-C9)</f>
        <v>5598801.832728</v>
      </c>
      <c r="D10" s="38" t="n">
        <f aca="false">MAX(0,Debt_RAB_Target*CR_RAB_Close-D9)</f>
        <v>5740607.90324602</v>
      </c>
      <c r="E10" s="38" t="n">
        <f aca="false">MAX(0,Debt_RAB_Target*CR_RAB_Close-E9)</f>
        <v>5889386.14305603</v>
      </c>
      <c r="F10" s="38" t="n">
        <f aca="false">MAX(0,Debt_RAB_Target*CR_RAB_Close-F9)</f>
        <v>6045398.66981074</v>
      </c>
      <c r="G10" s="38" t="n">
        <f aca="false">MAX(0,Debt_RAB_Target*CR_RAB_Close-G9)</f>
        <v>6208918.44741582</v>
      </c>
    </row>
    <row r="11" customFormat="false" ht="15" hidden="false" customHeight="false" outlineLevel="0" collapsed="false">
      <c r="A11" s="5"/>
      <c r="B11" s="39" t="s">
        <v>259</v>
      </c>
      <c r="C11" s="38" t="n">
        <f aca="false">0</f>
        <v>0</v>
      </c>
      <c r="D11" s="38" t="n">
        <f aca="false">0</f>
        <v>0</v>
      </c>
      <c r="E11" s="38" t="n">
        <f aca="false">0</f>
        <v>0</v>
      </c>
      <c r="F11" s="38" t="n">
        <f aca="false">0</f>
        <v>0</v>
      </c>
      <c r="G11" s="38" t="n">
        <f aca="false">0</f>
        <v>0</v>
      </c>
    </row>
    <row r="12" customFormat="false" ht="15" hidden="false" customHeight="false" outlineLevel="0" collapsed="false">
      <c r="A12" s="5"/>
      <c r="B12" s="40" t="s">
        <v>260</v>
      </c>
      <c r="C12" s="41" t="n">
        <f aca="false">C9+C10+C11</f>
        <v>5923801.832728</v>
      </c>
      <c r="D12" s="41" t="n">
        <f aca="false">D9+D10+D11</f>
        <v>11664409.735974</v>
      </c>
      <c r="E12" s="41" t="n">
        <f aca="false">E9+E10+E11</f>
        <v>17553795.8790301</v>
      </c>
      <c r="F12" s="41" t="n">
        <f aca="false">F9+F10+F11</f>
        <v>23599194.5488408</v>
      </c>
      <c r="G12" s="41" t="n">
        <f aca="false">G9+G10+G11</f>
        <v>29808112.9962566</v>
      </c>
    </row>
    <row r="13" customFormat="false" ht="15" hidden="false" customHeight="false" outlineLevel="0" collapsed="false">
      <c r="A13" s="5"/>
      <c r="B13" s="5"/>
      <c r="C13" s="5"/>
      <c r="D13" s="5"/>
      <c r="E13" s="5"/>
      <c r="F13" s="5"/>
      <c r="G13" s="5"/>
    </row>
    <row r="14" customFormat="false" ht="15" hidden="false" customHeight="false" outlineLevel="0" collapsed="false">
      <c r="A14" s="5"/>
      <c r="B14" s="32" t="s">
        <v>261</v>
      </c>
      <c r="C14" s="16"/>
      <c r="D14" s="16"/>
      <c r="E14" s="16"/>
      <c r="F14" s="16"/>
      <c r="G14" s="16"/>
    </row>
    <row r="15" customFormat="false" ht="15" hidden="false" customHeight="false" outlineLevel="0" collapsed="false">
      <c r="A15" s="5"/>
      <c r="B15" s="7" t="s">
        <v>262</v>
      </c>
      <c r="C15" s="38" t="n">
        <f aca="false">-((C9+C12)/2)*Cost_Of_Debt</f>
        <v>-171842.05040002</v>
      </c>
      <c r="D15" s="38" t="n">
        <f aca="false">-((D9+D12)/2)*Cost_Of_Debt</f>
        <v>-483675.818139306</v>
      </c>
      <c r="E15" s="38" t="n">
        <f aca="false">-((E9+E12)/2)*Cost_Of_Debt</f>
        <v>-803500.654412612</v>
      </c>
      <c r="F15" s="38" t="n">
        <f aca="false">-((F9+F12)/2)*Cost_Of_Debt</f>
        <v>-1131707.23676645</v>
      </c>
      <c r="G15" s="38" t="n">
        <f aca="false">-((G9+G12)/2)*Cost_Of_Debt</f>
        <v>-1468700.95749018</v>
      </c>
    </row>
    <row r="16" customFormat="false" ht="15" hidden="false" customHeight="false" outlineLevel="0" collapsed="false">
      <c r="A16" s="5"/>
      <c r="B16" s="5"/>
      <c r="C16" s="5"/>
      <c r="D16" s="5"/>
      <c r="E16" s="5"/>
      <c r="F16" s="5"/>
      <c r="G16" s="5"/>
    </row>
    <row r="17" customFormat="false" ht="15" hidden="false" customHeight="false" outlineLevel="0" collapsed="false">
      <c r="A17" s="5"/>
      <c r="B17" s="32" t="s">
        <v>263</v>
      </c>
      <c r="C17" s="16"/>
      <c r="D17" s="16"/>
      <c r="E17" s="16"/>
      <c r="F17" s="16"/>
      <c r="G17" s="16"/>
    </row>
    <row r="18" customFormat="false" ht="15" hidden="false" customHeight="false" outlineLevel="0" collapsed="false">
      <c r="A18" s="5"/>
      <c r="B18" s="7" t="s">
        <v>264</v>
      </c>
      <c r="C18" s="38" t="n">
        <f aca="false">-MAX(0,Payout_Ratio*IS_Net_Income)</f>
        <v>-23769643.549835</v>
      </c>
      <c r="D18" s="38" t="n">
        <f aca="false">-MAX(0,Payout_Ratio*IS_Net_Income)</f>
        <v>-24368370.0497549</v>
      </c>
      <c r="E18" s="38" t="n">
        <f aca="false">-MAX(0,Payout_Ratio*IS_Net_Income)</f>
        <v>-24994074.9994619</v>
      </c>
      <c r="F18" s="38" t="n">
        <f aca="false">-MAX(0,Payout_Ratio*IS_Net_Income)</f>
        <v>-25647814.0759654</v>
      </c>
      <c r="G18" s="38" t="n">
        <f aca="false">-MAX(0,Payout_Ratio*IS_Net_Income)</f>
        <v>-26330686.0861908</v>
      </c>
    </row>
    <row r="19" customFormat="false" ht="15" hidden="false" customHeight="false" outlineLevel="0" collapsed="false">
      <c r="A19" s="5"/>
      <c r="B19" s="5"/>
      <c r="C19" s="5"/>
      <c r="D19" s="5"/>
      <c r="E19" s="5"/>
      <c r="F19" s="5"/>
      <c r="G19" s="5"/>
    </row>
    <row r="20" customFormat="false" ht="15" hidden="false" customHeight="false" outlineLevel="0" collapsed="false">
      <c r="A20" s="5"/>
      <c r="B20" s="32" t="s">
        <v>265</v>
      </c>
      <c r="C20" s="16"/>
      <c r="D20" s="16"/>
      <c r="E20" s="16"/>
      <c r="F20" s="16"/>
      <c r="G20" s="16"/>
    </row>
    <row r="21" customFormat="false" ht="15" hidden="false" customHeight="false" outlineLevel="0" collapsed="false">
      <c r="A21" s="5"/>
      <c r="B21" s="7" t="s">
        <v>266</v>
      </c>
      <c r="C21" s="44" t="n">
        <f aca="false">IF(CR_RAB_Close=0,0,C12/CR_RAB_Close)</f>
        <v>0.65</v>
      </c>
      <c r="D21" s="44" t="n">
        <f aca="false">IF(CR_RAB_Close=0,0,D12/CR_RAB_Close)</f>
        <v>0.65</v>
      </c>
      <c r="E21" s="44" t="n">
        <f aca="false">IF(CR_RAB_Close=0,0,E12/CR_RAB_Close)</f>
        <v>0.65</v>
      </c>
      <c r="F21" s="44" t="n">
        <f aca="false">IF(CR_RAB_Close=0,0,F12/CR_RAB_Close)</f>
        <v>0.65</v>
      </c>
      <c r="G21" s="44" t="n">
        <f aca="false">IF(CR_RAB_Close=0,0,G12/CR_RAB_Close)</f>
        <v>0.65</v>
      </c>
    </row>
    <row r="22" customFormat="false" ht="15" hidden="false" customHeight="false" outlineLevel="0" collapsed="false">
      <c r="A22" s="5"/>
      <c r="B22" s="7" t="s">
        <v>267</v>
      </c>
      <c r="C22" s="48" t="n">
        <f aca="false">IF(C15=0,0,OX_EBITDA/-C15)</f>
        <v>267.303211307555</v>
      </c>
      <c r="D22" s="48" t="n">
        <f aca="false">IF(D15=0,0,OX_EBITDA/-D15)</f>
        <v>98.9702044849176</v>
      </c>
      <c r="E22" s="48" t="n">
        <f aca="false">IF(E15=0,0,OX_EBITDA/-E15)</f>
        <v>62.0832219949288</v>
      </c>
      <c r="F22" s="48" t="n">
        <f aca="false">IF(F15=0,0,OX_EBITDA/-F15)</f>
        <v>45.930927295045</v>
      </c>
      <c r="G22" s="48" t="n">
        <f aca="false">IF(G15=0,0,OX_EBITDA/-G15)</f>
        <v>36.8776019717081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2026-05-15T18:54:02Z</dcterms:created>
  <dc:creator>openpyxl</dc:creator>
  <dc:description/>
  <dc:language>en-GB</dc:language>
  <cp:lastModifiedBy/>
  <dcterms:modified xsi:type="dcterms:W3CDTF">2026-05-15T18:54:03Z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