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AUM_Rollforward" sheetId="3" state="visible" r:id="rId5"/>
    <sheet name="Revenue" sheetId="4" state="visible" r:id="rId6"/>
    <sheet name="Headcount" sheetId="5" state="visible" r:id="rId7"/>
    <sheet name="Expenses" sheetId="6" state="visible" r:id="rId8"/>
    <sheet name="Income_Statement" sheetId="7" state="visible" r:id="rId9"/>
    <sheet name="Cash_Flow" sheetId="8" state="visible" r:id="rId10"/>
    <sheet name="Valuation" sheetId="9" state="visible" r:id="rId11"/>
    <sheet name="Sensitivity" sheetId="10" state="visible" r:id="rId12"/>
    <sheet name="Checks" sheetId="11" state="visible" r:id="rId13"/>
    <sheet name="Disclaimer" sheetId="12" state="visible" r:id="rId14"/>
  </sheets>
  <definedNames>
    <definedName function="false" hidden="false" name="Advisory_Fee" vbProcedure="false">Assumptions!$C$12</definedName>
    <definedName function="false" hidden="false" name="AUM_Adv_Cap" vbProcedure="false">Assumptions!$C$57</definedName>
    <definedName function="false" hidden="false" name="AUM_Adv_Floor" vbProcedure="false">Assumptions!$C$56</definedName>
    <definedName function="false" hidden="false" name="AUM_Per_Advisor" vbProcedure="false">Assumptions!$C$20</definedName>
    <definedName function="false" hidden="false" name="Benefits_Load" vbProcedure="false">Assumptions!$C$24</definedName>
    <definedName function="false" hidden="false" name="Capex_Base" vbProcedure="false">Assumptions!$C$37</definedName>
    <definedName function="false" hidden="false" name="Compliance_Base" vbProcedure="false">Assumptions!$C$30</definedName>
    <definedName function="false" hidden="false" name="Custody_Fee" vbProcedure="false">Assumptions!$C$27</definedName>
    <definedName function="false" hidden="false" name="DA_Annual" vbProcedure="false">Assumptions!$C$36</definedName>
    <definedName function="false" hidden="false" name="Discount_Rate" vbProcedure="false">Assumptions!$C$42</definedName>
    <definedName function="false" hidden="false" name="EBMargin_Cap" vbProcedure="false">Assumptions!$C$53</definedName>
    <definedName function="false" hidden="false" name="EBMargin_Floor" vbProcedure="false">Assumptions!$C$52</definedName>
    <definedName function="false" hidden="false" name="Entry_Multiple" vbProcedure="false">Assumptions!$C$44</definedName>
    <definedName function="false" hidden="false" name="Exit_Multiple" vbProcedure="false">Assumptions!$C$45</definedName>
    <definedName function="false" hidden="false" name="Fee_Compression" vbProcedure="false">Assumptions!$C$13</definedName>
    <definedName function="false" hidden="false" name="GA_Pct" vbProcedure="false">Assumptions!$C$33</definedName>
    <definedName function="false" hidden="false" name="Gross_Inflow_Rate" vbProcedure="false">Assumptions!$C$7</definedName>
    <definedName function="false" hidden="false" name="HH_Base" vbProcedure="false">Assumptions!$C$14</definedName>
    <definedName function="false" hidden="false" name="HH_Growth" vbProcedure="false">Assumptions!$C$15</definedName>
    <definedName function="false" hidden="false" name="Inflation" vbProcedure="false">Assumptions!$C$31</definedName>
    <definedName function="false" hidden="false" name="IRR_Cap" vbProcedure="false">Assumptions!$C$55</definedName>
    <definedName function="false" hidden="false" name="IRR_Floor" vbProcedure="false">Assumptions!$C$54</definedName>
    <definedName function="false" hidden="false" name="Loaded_Salary" vbProcedure="false">Assumptions!$C$49</definedName>
    <definedName function="false" hidden="false" name="Marketing_Pct" vbProcedure="false">Assumptions!$C$32</definedName>
    <definedName function="false" hidden="false" name="Market_Return" vbProcedure="false">Assumptions!$C$9</definedName>
    <definedName function="false" hidden="false" name="Net_Flow_Rate" vbProcedure="false">Assumptions!$C$48</definedName>
    <definedName function="false" hidden="false" name="NWC_Pct" vbProcedure="false">Assumptions!$C$38</definedName>
    <definedName function="false" hidden="false" name="Occupancy_Base" vbProcedure="false">Assumptions!$C$29</definedName>
    <definedName function="false" hidden="false" name="Opening_AUM" vbProcedure="false">Assumptions!$C$6</definedName>
    <definedName function="false" hidden="false" name="Other_Revenue_Pct" vbProcedure="false">Assumptions!$C$17</definedName>
    <definedName function="false" hidden="false" name="Outflow_Rate" vbProcedure="false">Assumptions!$C$8</definedName>
    <definedName function="false" hidden="false" name="Payout_Rate" vbProcedure="false">Assumptions!$C$22</definedName>
    <definedName function="false" hidden="false" name="Planning_Fee" vbProcedure="false">Assumptions!$C$16</definedName>
    <definedName function="false" hidden="false" name="Support_Ratio" vbProcedure="false">Assumptions!$C$21</definedName>
    <definedName function="false" hidden="false" name="Support_Salary" vbProcedure="false">Assumptions!$C$23</definedName>
    <definedName function="false" hidden="false" name="Tax_Rate" vbProcedure="false">Assumptions!$C$39</definedName>
    <definedName function="false" hidden="false" name="Tech_Per_Advisor" vbProcedure="false">Assumptions!$C$28</definedName>
    <definedName function="false" hidden="false" name="Terminal_Growth" vbProcedure="false">Assumptions!$C$43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<sst xmlns="http://schemas.openxmlformats.org/spreadsheetml/2006/main" count="329" uniqueCount="266">
  <si>
    <t xml:space="preserve">Wealth Management Model</t>
  </si>
  <si>
    <t xml:space="preserve">FINAMODEL.com</t>
  </si>
  <si>
    <t xml:space="preserve">RIA Operating Model &amp; Owner Equity Valuation</t>
  </si>
  <si>
    <t xml:space="preserve">Key Parameters</t>
  </si>
  <si>
    <t xml:space="preserve">Opening AUM (Year 0)</t>
  </si>
  <si>
    <t xml:space="preserve">Forecast Horizon</t>
  </si>
  <si>
    <t xml:space="preserve">Advisory Fee Rate</t>
  </si>
  <si>
    <t xml:space="preserve">Entry EBITDA Multiple</t>
  </si>
  <si>
    <t xml:space="preserve">Exit EBITDA Multiple</t>
  </si>
  <si>
    <t xml:space="preserve">Discount Rate</t>
  </si>
  <si>
    <t xml:space="preserve">Sheet Index</t>
  </si>
  <si>
    <t xml:space="preserve">Sheet</t>
  </si>
  <si>
    <t xml:space="preserve">Tab</t>
  </si>
  <si>
    <t xml:space="preserve">Purpose</t>
  </si>
  <si>
    <t xml:space="preserve">Cover</t>
  </si>
  <si>
    <t xml:space="preserve">Navy</t>
  </si>
  <si>
    <t xml:space="preserve">Title, parameters, sheet index</t>
  </si>
  <si>
    <t xml:space="preserve">Assumptions</t>
  </si>
  <si>
    <t xml:space="preserve">Blue</t>
  </si>
  <si>
    <t xml:space="preserve">Inputs and named ranges</t>
  </si>
  <si>
    <t xml:space="preserve">AUM_Rollforward</t>
  </si>
  <si>
    <t xml:space="preserve">Green</t>
  </si>
  <si>
    <t xml:space="preserve">Opening AUM, flows, market return, closing AUM</t>
  </si>
  <si>
    <t xml:space="preserve">Revenue</t>
  </si>
  <si>
    <t xml:space="preserve">Advisory fees, planning fees, other revenue</t>
  </si>
  <si>
    <t xml:space="preserve">Headcount</t>
  </si>
  <si>
    <t xml:space="preserve">Advisor and support staff counts</t>
  </si>
  <si>
    <t xml:space="preserve">Expenses</t>
  </si>
  <si>
    <t xml:space="preserve">Orange</t>
  </si>
  <si>
    <t xml:space="preserve">Compensation, platform, technology, overheads</t>
  </si>
  <si>
    <t xml:space="preserve">Income_Statement</t>
  </si>
  <si>
    <t xml:space="preserve">Grey</t>
  </si>
  <si>
    <t xml:space="preserve">Revenue, opex, EBITDA, tax, net income</t>
  </si>
  <si>
    <t xml:space="preserve">Cash_Flow</t>
  </si>
  <si>
    <t xml:space="preserve">Operating CF, free CF, distributions, cash</t>
  </si>
  <si>
    <t xml:space="preserve">Valuation</t>
  </si>
  <si>
    <t xml:space="preserve">Entry EV, DCF, exit EV, owner IRR and MOIC</t>
  </si>
  <si>
    <t xml:space="preserve">Sensitivity</t>
  </si>
  <si>
    <t xml:space="preserve">Exit EV: inflow rate vs market return grid</t>
  </si>
  <si>
    <t xml:space="preserve">Checks</t>
  </si>
  <si>
    <t xml:space="preserve">Red</t>
  </si>
  <si>
    <t xml:space="preserve">Validation checks and rollup</t>
  </si>
  <si>
    <t xml:space="preserve">Tab Colour Legend</t>
  </si>
  <si>
    <t xml:space="preserve">Inputs / driver schedules</t>
  </si>
  <si>
    <t xml:space="preserve">AUM and revenue build</t>
  </si>
  <si>
    <t xml:space="preserve">Expenses, valuation, sensitivity</t>
  </si>
  <si>
    <t xml:space="preserve">Financial statements</t>
  </si>
  <si>
    <t xml:space="preserve">Validation checks</t>
  </si>
  <si>
    <t xml:space="preserve">Model Version: v1 (2026-05-22)</t>
  </si>
  <si>
    <t xml:space="preserve">Status: TEMPLATE - assumptions must be confirmed before use</t>
  </si>
  <si>
    <t xml:space="preserve">Model inputs and named ranges</t>
  </si>
  <si>
    <t xml:space="preserve">Parameter</t>
  </si>
  <si>
    <t xml:space="preserve">Value</t>
  </si>
  <si>
    <t xml:space="preserve">Unit</t>
  </si>
  <si>
    <t xml:space="preserve">Notes</t>
  </si>
  <si>
    <t xml:space="preserve">AUM Flows</t>
  </si>
  <si>
    <t xml:space="preserve">Opening AUM (Year 0 close)</t>
  </si>
  <si>
    <t xml:space="preserve">USD M</t>
  </si>
  <si>
    <t xml:space="preserve">Assets under management at base-year close [ASSUMPTION]</t>
  </si>
  <si>
    <t xml:space="preserve">Gross Inflow Rate</t>
  </si>
  <si>
    <t xml:space="preserve">% of open AUM</t>
  </si>
  <si>
    <t xml:space="preserve">New client assets per year [ASSUMPTION]</t>
  </si>
  <si>
    <t xml:space="preserve">Outflow / Attrition Rate</t>
  </si>
  <si>
    <t xml:space="preserve">Client redemptions and lost accounts [ASSUMPTION]</t>
  </si>
  <si>
    <t xml:space="preserve">Market Return on AUM</t>
  </si>
  <si>
    <t xml:space="preserve">p.a.</t>
  </si>
  <si>
    <t xml:space="preserve">Blended market appreciation [ASSUMPTION]</t>
  </si>
  <si>
    <t xml:space="preserve">% of avg AUM</t>
  </si>
  <si>
    <t xml:space="preserve">Year 0 advisory fee (85 bps) [ASSUMPTION]</t>
  </si>
  <si>
    <t xml:space="preserve">Annual Fee Compression</t>
  </si>
  <si>
    <t xml:space="preserve">relative p.a.</t>
  </si>
  <si>
    <t xml:space="preserve">Fee rate steps down each year [ASSUMPTION]</t>
  </si>
  <si>
    <t xml:space="preserve">Client Households (Year 0)</t>
  </si>
  <si>
    <t xml:space="preserve">households</t>
  </si>
  <si>
    <t xml:space="preserve">Advised household relationships [ASSUMPTION]</t>
  </si>
  <si>
    <t xml:space="preserve">Household Growth</t>
  </si>
  <si>
    <t xml:space="preserve">Net new household growth [ASSUMPTION]</t>
  </si>
  <si>
    <t xml:space="preserve">Planning Fee per Household</t>
  </si>
  <si>
    <t xml:space="preserve">USD</t>
  </si>
  <si>
    <t xml:space="preserve">Annual financial planning fee [ASSUMPTION]</t>
  </si>
  <si>
    <t xml:space="preserve">Other Revenue</t>
  </si>
  <si>
    <t xml:space="preserve">% of advisory</t>
  </si>
  <si>
    <t xml:space="preserve">Insurance, referral and ancillary fees [ASSUMPTION]</t>
  </si>
  <si>
    <t xml:space="preserve">Headcount &amp; Compensation</t>
  </si>
  <si>
    <t xml:space="preserve">Target AUM per Advisor</t>
  </si>
  <si>
    <t xml:space="preserve">Capacity per producing advisor [ASSUMPTION]</t>
  </si>
  <si>
    <t xml:space="preserve">Support Staff Ratio</t>
  </si>
  <si>
    <t xml:space="preserve">per advisor</t>
  </si>
  <si>
    <t xml:space="preserve">Service and operations staff per advisor [ASSUMPTION]</t>
  </si>
  <si>
    <t xml:space="preserve">Advisor Payout Rate</t>
  </si>
  <si>
    <t xml:space="preserve">% of adv fees</t>
  </si>
  <si>
    <t xml:space="preserve">Advisor compensation as share of advisory revenue [ASSUMPTION]</t>
  </si>
  <si>
    <t xml:space="preserve">Support Staff Salary</t>
  </si>
  <si>
    <t xml:space="preserve">Average base salary per support FTE [ASSUMPTION]</t>
  </si>
  <si>
    <t xml:space="preserve">Benefits Load</t>
  </si>
  <si>
    <t xml:space="preserve">% of salary</t>
  </si>
  <si>
    <t xml:space="preserve">Payroll taxes and benefits on cash comp [ASSUMPTION]</t>
  </si>
  <si>
    <t xml:space="preserve">Operating Costs</t>
  </si>
  <si>
    <t xml:space="preserve">Custody / Platform Fee</t>
  </si>
  <si>
    <t xml:space="preserve">Custodian and platform charges (4 bps) [ASSUMPTION]</t>
  </si>
  <si>
    <t xml:space="preserve">Technology per Advisor</t>
  </si>
  <si>
    <t xml:space="preserve">CRM, planning and data tools per advisor [ASSUMPTION]</t>
  </si>
  <si>
    <t xml:space="preserve">Occupancy (Year 1)</t>
  </si>
  <si>
    <t xml:space="preserve">Office rent and facilities, escalated [ASSUMPTION]</t>
  </si>
  <si>
    <t xml:space="preserve">Compliance Base (Year 1)</t>
  </si>
  <si>
    <t xml:space="preserve">Regulatory, audit and legal, escalated [ASSUMPTION]</t>
  </si>
  <si>
    <t xml:space="preserve">Inflation Escalation</t>
  </si>
  <si>
    <t xml:space="preserve">Escalator on fixed cost lines [ASSUMPTION]</t>
  </si>
  <si>
    <t xml:space="preserve">Marketing &amp; BD</t>
  </si>
  <si>
    <t xml:space="preserve">% of revenue</t>
  </si>
  <si>
    <t xml:space="preserve">Marketing and business development [ASSUMPTION]</t>
  </si>
  <si>
    <t xml:space="preserve">G&amp;A</t>
  </si>
  <si>
    <t xml:space="preserve">General and administrative overhead [ASSUMPTION]</t>
  </si>
  <si>
    <t xml:space="preserve">Capital &amp; Tax</t>
  </si>
  <si>
    <t xml:space="preserve">Depreciation &amp; Amortisation</t>
  </si>
  <si>
    <t xml:space="preserve">Annual non-cash D&amp;A charge [ASSUMPTION]</t>
  </si>
  <si>
    <t xml:space="preserve">Capex (Year 1)</t>
  </si>
  <si>
    <t xml:space="preserve">Annual capital expenditure, escalated [ASSUMPTION]</t>
  </si>
  <si>
    <t xml:space="preserve">Net Working Capital</t>
  </si>
  <si>
    <t xml:space="preserve">Working capital tied to revenue [ASSUMPTION]</t>
  </si>
  <si>
    <t xml:space="preserve">Tax Rate</t>
  </si>
  <si>
    <t xml:space="preserve">%</t>
  </si>
  <si>
    <t xml:space="preserve">Effective tax on pre-tax income [ASSUMPTION]</t>
  </si>
  <si>
    <t xml:space="preserve">WACC / required return for DCF [ASSUMPTION]</t>
  </si>
  <si>
    <t xml:space="preserve">Terminal Growth</t>
  </si>
  <si>
    <t xml:space="preserve">Gordon-growth perpetuity rate [ASSUMPTION]</t>
  </si>
  <si>
    <t xml:space="preserve">x</t>
  </si>
  <si>
    <t xml:space="preserve">Year 0 EBITDA multiple at entry [ASSUMPTION]</t>
  </si>
  <si>
    <t xml:space="preserve">Year 7 EBITDA multiple at exit [ASSUMPTION]</t>
  </si>
  <si>
    <t xml:space="preserve">Derived</t>
  </si>
  <si>
    <t xml:space="preserve">Net Organic Flow Rate</t>
  </si>
  <si>
    <t xml:space="preserve">Gross inflow less attrition</t>
  </si>
  <si>
    <t xml:space="preserve">Loaded Support Salary</t>
  </si>
  <si>
    <t xml:space="preserve">Support salary including benefits load</t>
  </si>
  <si>
    <t xml:space="preserve">Validation Bounds</t>
  </si>
  <si>
    <t xml:space="preserve">EBITDA Margin Floor</t>
  </si>
  <si>
    <t xml:space="preserve">Lower bound for the EBITDA margin check [ASSUMPTION]</t>
  </si>
  <si>
    <t xml:space="preserve">EBITDA Margin Cap</t>
  </si>
  <si>
    <t xml:space="preserve">Upper bound for the EBITDA margin check [ASSUMPTION]</t>
  </si>
  <si>
    <t xml:space="preserve">Equity IRR Floor</t>
  </si>
  <si>
    <t xml:space="preserve">Lower bound for the equity IRR check [ASSUMPTION]</t>
  </si>
  <si>
    <t xml:space="preserve">Equity IRR Cap</t>
  </si>
  <si>
    <t xml:space="preserve">Upper bound for the equity IRR check [ASSUMPTION]</t>
  </si>
  <si>
    <t xml:space="preserve">AUM per Advisor Floor</t>
  </si>
  <si>
    <t xml:space="preserve">Lower bound for AUM-per-advisor check [ASSUMPTION]</t>
  </si>
  <si>
    <t xml:space="preserve">AUM per Advisor Cap</t>
  </si>
  <si>
    <t xml:space="preserve">Upper bound for AUM-per-advisor check [ASSUMPTION]</t>
  </si>
  <si>
    <t xml:space="preserve">AUM Roll-Forward</t>
  </si>
  <si>
    <t xml:space="preserve">AUM flows and closing balance</t>
  </si>
  <si>
    <t xml:space="preserve">Year</t>
  </si>
  <si>
    <t xml:space="preserve">Period</t>
  </si>
  <si>
    <t xml:space="preserve">AUM Roll-Forward ($M)</t>
  </si>
  <si>
    <t xml:space="preserve">  Opening AUM</t>
  </si>
  <si>
    <t xml:space="preserve">  Gross Inflows</t>
  </si>
  <si>
    <t xml:space="preserve">  Outflows / Attrition</t>
  </si>
  <si>
    <t xml:space="preserve">  Net Flows</t>
  </si>
  <si>
    <t xml:space="preserve">  Market Appreciation</t>
  </si>
  <si>
    <t xml:space="preserve">  Closing AUM</t>
  </si>
  <si>
    <t xml:space="preserve">  Average AUM</t>
  </si>
  <si>
    <t xml:space="preserve">Advisory and planning fee build</t>
  </si>
  <si>
    <t xml:space="preserve">Revenue Build ($)</t>
  </si>
  <si>
    <t xml:space="preserve">  Advisory Fee Rate</t>
  </si>
  <si>
    <t xml:space="preserve">  Advisory Fee Revenue</t>
  </si>
  <si>
    <t xml:space="preserve">  Client Households</t>
  </si>
  <si>
    <t xml:space="preserve">  Financial Planning Fees</t>
  </si>
  <si>
    <t xml:space="preserve">  Other Revenue</t>
  </si>
  <si>
    <t xml:space="preserve">  Total Revenue</t>
  </si>
  <si>
    <t xml:space="preserve">  Blended Revenue Yield</t>
  </si>
  <si>
    <t xml:space="preserve">Staffing</t>
  </si>
  <si>
    <t xml:space="preserve">  Advisors</t>
  </si>
  <si>
    <t xml:space="preserve">  Support Staff</t>
  </si>
  <si>
    <t xml:space="preserve">  Total Headcount</t>
  </si>
  <si>
    <t xml:space="preserve">  AUM per Advisor ($M)</t>
  </si>
  <si>
    <t xml:space="preserve">Operating Expenses</t>
  </si>
  <si>
    <t xml:space="preserve">Operating Expenses ($)</t>
  </si>
  <si>
    <t xml:space="preserve">  Advisor Compensation</t>
  </si>
  <si>
    <t xml:space="preserve">  Support Staff Compensation</t>
  </si>
  <si>
    <t xml:space="preserve">  Platform &amp; Custody Fees</t>
  </si>
  <si>
    <t xml:space="preserve">  Technology &amp; Data</t>
  </si>
  <si>
    <t xml:space="preserve">  Occupancy &amp; Rent</t>
  </si>
  <si>
    <t xml:space="preserve">  Marketing &amp; Business Dev</t>
  </si>
  <si>
    <t xml:space="preserve">  Compliance &amp; Regulatory</t>
  </si>
  <si>
    <t xml:space="preserve">  General &amp; Administrative</t>
  </si>
  <si>
    <t xml:space="preserve">  Total Operating Expenses</t>
  </si>
  <si>
    <t xml:space="preserve">Income Statement</t>
  </si>
  <si>
    <t xml:space="preserve">EBITDA, tax and net income</t>
  </si>
  <si>
    <t xml:space="preserve">Income Statement ($)</t>
  </si>
  <si>
    <t xml:space="preserve">  EBITDA</t>
  </si>
  <si>
    <t xml:space="preserve">  Depreciation &amp; Amortisation</t>
  </si>
  <si>
    <t xml:space="preserve">  EBIT (Pre-Tax Income)</t>
  </si>
  <si>
    <t xml:space="preserve">  Tax</t>
  </si>
  <si>
    <t xml:space="preserve">  Net Income</t>
  </si>
  <si>
    <t xml:space="preserve">  EBITDA Margin</t>
  </si>
  <si>
    <t xml:space="preserve">  Net Margin</t>
  </si>
  <si>
    <t xml:space="preserve">Cash Flow</t>
  </si>
  <si>
    <t xml:space="preserve">Free cash flow and distributions</t>
  </si>
  <si>
    <t xml:space="preserve">Free Cash Flow ($)</t>
  </si>
  <si>
    <t xml:space="preserve">  Add: Depreciation &amp; Amortisation</t>
  </si>
  <si>
    <t xml:space="preserve">  Less: Increase in NWC</t>
  </si>
  <si>
    <t xml:space="preserve">  Operating Cash Flow</t>
  </si>
  <si>
    <t xml:space="preserve">  Less: Capex</t>
  </si>
  <si>
    <t xml:space="preserve">  Free Cash Flow</t>
  </si>
  <si>
    <t xml:space="preserve">  Cumulative Free Cash Flow</t>
  </si>
  <si>
    <t xml:space="preserve">Cash Balance &amp; Distributions ($)</t>
  </si>
  <si>
    <t xml:space="preserve">  Opening Cash</t>
  </si>
  <si>
    <t xml:space="preserve">  Owner Distributions</t>
  </si>
  <si>
    <t xml:space="preserve">  Closing Cash</t>
  </si>
  <si>
    <t xml:space="preserve">Entry, DCF and exit value</t>
  </si>
  <si>
    <t xml:space="preserve">Entry Valuation ($)</t>
  </si>
  <si>
    <t xml:space="preserve">  Entry Enterprise Value</t>
  </si>
  <si>
    <t xml:space="preserve">  Entry Equity Value</t>
  </si>
  <si>
    <t xml:space="preserve">Discounted Cash Flow ($)</t>
  </si>
  <si>
    <t xml:space="preserve">  PV of Forecast FCF</t>
  </si>
  <si>
    <t xml:space="preserve">  PV of Terminal Value</t>
  </si>
  <si>
    <t xml:space="preserve">  DCF Enterprise Value</t>
  </si>
  <si>
    <t xml:space="preserve">Exit Valuation ($)</t>
  </si>
  <si>
    <t xml:space="preserve">  Exit Enterprise Value</t>
  </si>
  <si>
    <t xml:space="preserve">  Exit Equity Value</t>
  </si>
  <si>
    <t xml:space="preserve">Owner Equity Cash Flow ($)</t>
  </si>
  <si>
    <t xml:space="preserve">Year 0</t>
  </si>
  <si>
    <t xml:space="preserve">Year 1</t>
  </si>
  <si>
    <t xml:space="preserve">Year 2</t>
  </si>
  <si>
    <t xml:space="preserve">Year 3</t>
  </si>
  <si>
    <t xml:space="preserve">Year 4</t>
  </si>
  <si>
    <t xml:space="preserve">Year 5</t>
  </si>
  <si>
    <t xml:space="preserve">Year 6</t>
  </si>
  <si>
    <t xml:space="preserve">Year 7</t>
  </si>
  <si>
    <t xml:space="preserve">  Owner Cash Flow</t>
  </si>
  <si>
    <t xml:space="preserve">Owner Returns</t>
  </si>
  <si>
    <t xml:space="preserve">  Equity IRR</t>
  </si>
  <si>
    <t xml:space="preserve">  Equity MOIC</t>
  </si>
  <si>
    <t xml:space="preserve">Exit EV: flows vs market</t>
  </si>
  <si>
    <t xml:space="preserve">Exit Enterprise Value ($)</t>
  </si>
  <si>
    <t xml:space="preserve">Net Flow \ Mkt Return</t>
  </si>
  <si>
    <t xml:space="preserve">Validation Checks</t>
  </si>
  <si>
    <t xml:space="preserve">All checks must equal 0</t>
  </si>
  <si>
    <t xml:space="preserve">Check</t>
  </si>
  <si>
    <t xml:space="preserve">Result</t>
  </si>
  <si>
    <t xml:space="preserve">Status</t>
  </si>
  <si>
    <t xml:space="preserve">AUM roll-forward ties</t>
  </si>
  <si>
    <t xml:space="preserve">Total revenue = sum of components</t>
  </si>
  <si>
    <t xml:space="preserve">Total opex = sum of components</t>
  </si>
  <si>
    <t xml:space="preserve">EBITDA margin within bounds</t>
  </si>
  <si>
    <t xml:space="preserve">Year-7 net income positive</t>
  </si>
  <si>
    <t xml:space="preserve">Year-7 cumulative FCF positive</t>
  </si>
  <si>
    <t xml:space="preserve">Equity IRR within bounds</t>
  </si>
  <si>
    <t xml:space="preserve">AUM per advisor within bounds</t>
  </si>
  <si>
    <t xml:space="preserve">Cash balance never negative</t>
  </si>
  <si>
    <t xml:space="preserve">ALL CHECKS PASS</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</si>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</sst>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10">
    <numFmt numFmtId="164" formatCode="General"/>
    <numFmt numFmtId="165" formatCode="#,##0&quot; $M&quot;"/>
    <numFmt numFmtId="166" formatCode="0&quot; years&quot;"/>
    <numFmt numFmtId="167" formatCode="0.00%"/>
    <numFmt numFmtId="168" formatCode="0.00\x"/>
    <numFmt numFmtId="169" formatCode="0.0%"/>
    <numFmt numFmtId="170" formatCode="#,##0"/>
    <numFmt numFmtId="171" formatCode="0"/>
    <numFmt numFmtId="172" formatCode="0.0"/>
    <numFmt numFmtId="173" formatCode="0.000%"/>
  </numFmts>
  <fonts count="24">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color rgb="FF14532D"/>
      <name val="Arial"/>
      <family val="0"/>
      <charset val="1"/>
    </font>
    <font>
      <b val="true"/>
      <sz val="11"/>
      <name val="Arial"/>
      <family val="0"/>
      <charset val="1"/>
    </font>
    <font>
      <i val="true"/>
      <sz val="11"/>
      <color rgb="FFFF0000"/>
      <name val="Arial"/>
      <family val="0"/>
      <charset val="1"/>
    </font>
    <font>
      <b val="true"/>
      <sz val="11"/>
      <color rgb="FFFFFFFF"/>
      <name val="Arial"/>
      <family val="0"/>
      <charset val="1"/>
    </font>
    <font>
      <sz val="11"/>
      <color rgb="FF0070C0"/>
      <name val="Arial"/>
      <family val="0"/>
      <charset val="1"/>
    </font>
    <font>
      <b val="true"/>
      <sz val="11"/>
      <color rgb="FF0070C0"/>
      <name val="Arial"/>
      <family val="0"/>
      <charset val="1"/>
    </font>
    <font>
      <b val="true"/>
      <sz val="11"/>
      <color rgb="FF00B050"/>
      <name val="Arial"/>
      <family val="0"/>
      <charset val="1"/>
    </font>
    <font>
      <b val="true"/>
      <sz val="18"/>
      <color rgb="FF1F4E79"/>
      <name val="Arial"/>
      <family val="0"/>
      <charset val="1"/>
    </font>
    <font>
      <sz val="11"/>
      <color theme="1"/>
      <name val="Calibri"/>
      <family val="2"/>
      <charset val="1"/>
    </font>
    <font>
      <sz val="10"/>
      <color rgb="FF262626"/>
      <name val="Arial"/>
      <family val="0"/>
      <charset val="1"/>
    </font>
    <font>
      <b val="true"/>
      <sz val="10"/>
      <color rgb="FF1F4E79"/>
      <name val="Arial"/>
      <family val="0"/>
      <charset val="1"/>
    </font>
    <font>
      <b val="true"/>
      <sz val="11"/>
      <color rgb="FF1F4E79"/>
      <name val="Arial"/>
      <family val="0"/>
      <charset val="1"/>
    </font>
    <font>
      <sz val="9"/>
      <color rgb="FF404040"/>
      <name val="Arial"/>
      <family val="0"/>
      <charset val="1"/>
    </font>
    <font>
      <i val="true"/>
      <sz val="10"/>
      <color rgb="FF808080"/>
      <name val="Arial"/>
      <family val="0"/>
      <charset val="1"/>
    </font>
  </fonts>
  <fills count="6">
    <fill>
      <patternFill patternType="none"/>
    </fill>
    <fill>
      <patternFill patternType="gray125"/>
    </fill>
    <fill>
      <patternFill patternType="solid">
        <fgColor rgb="FF14532D"/>
        <bgColor rgb="FF1F4E79"/>
      </patternFill>
    </fill>
    <fill>
      <patternFill patternType="solid">
        <fgColor rgb="FFDEEAF1"/>
        <bgColor rgb="FFF2F2F2"/>
      </patternFill>
    </fill>
    <fill>
      <patternFill patternType="solid">
        <fgColor rgb="FF1F4E79"/>
        <bgColor rgb="FF14532D"/>
      </patternFill>
    </fill>
    <fill>
      <patternFill patternType="solid">
        <fgColor rgb="FFF2F2F2"/>
        <bgColor rgb="FFDEEAF1"/>
      </patternFill>
    </fill>
  </fills>
  <borders count="3">
    <border diagonalUp="false" diagonalDown="false">
      <left/>
      <right/>
      <top/>
      <bottom/>
      <diagonal/>
    </border>
    <border diagonalUp="false" diagonalDown="false">
      <left/>
      <right/>
      <top/>
      <bottom style="thin"/>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right" vertical="center" textRotation="0" wrapText="false" indent="0"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8" fontId="11" fillId="0" borderId="0" xfId="0" applyFont="true" applyBorder="false" applyAlignment="true" applyProtection="false">
      <alignment horizontal="right" vertical="center" textRotation="0" wrapText="false" indent="0" shrinkToFit="false"/>
      <protection locked="true" hidden="false"/>
    </xf>
    <xf numFmtId="169" fontId="11"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left" vertical="center" textRotation="0" wrapText="false" indent="0" shrinkToFit="false"/>
      <protection locked="true" hidden="false"/>
    </xf>
    <xf numFmtId="164" fontId="13" fillId="2" borderId="0" xfId="0" applyFont="true" applyBorder="false" applyAlignment="true" applyProtection="false">
      <alignment horizontal="center" vertical="center" textRotation="0" wrapText="false" indent="0" shrinkToFit="false"/>
      <protection locked="true" hidden="false"/>
    </xf>
    <xf numFmtId="170" fontId="14" fillId="3" borderId="0" xfId="0" applyFont="true" applyBorder="false" applyAlignment="true" applyProtection="false">
      <alignment horizontal="right" vertical="center" textRotation="0" wrapText="false" indent="0" shrinkToFit="false"/>
      <protection locked="true" hidden="false"/>
    </xf>
    <xf numFmtId="169" fontId="14" fillId="3" borderId="0" xfId="0" applyFont="true" applyBorder="false" applyAlignment="true" applyProtection="false">
      <alignment horizontal="right" vertical="center" textRotation="0" wrapText="false" indent="0" shrinkToFit="false"/>
      <protection locked="true" hidden="false"/>
    </xf>
    <xf numFmtId="167" fontId="14" fillId="3" borderId="0" xfId="0" applyFont="true" applyBorder="false" applyAlignment="true" applyProtection="false">
      <alignment horizontal="right" vertical="center" textRotation="0" wrapText="false" indent="0" shrinkToFit="false"/>
      <protection locked="true" hidden="false"/>
    </xf>
    <xf numFmtId="171" fontId="14" fillId="3" borderId="0" xfId="0" applyFont="true" applyBorder="false" applyAlignment="true" applyProtection="false">
      <alignment horizontal="right" vertical="center" textRotation="0" wrapText="false" indent="0" shrinkToFit="false"/>
      <protection locked="true" hidden="false"/>
    </xf>
    <xf numFmtId="172" fontId="14" fillId="3" borderId="0" xfId="0" applyFont="true" applyBorder="false" applyAlignment="true" applyProtection="false">
      <alignment horizontal="right" vertical="center" textRotation="0" wrapText="false" indent="0" shrinkToFit="false"/>
      <protection locked="true" hidden="false"/>
    </xf>
    <xf numFmtId="173" fontId="14" fillId="3" borderId="0" xfId="0" applyFont="true" applyBorder="false" applyAlignment="true" applyProtection="false">
      <alignment horizontal="right" vertical="center" textRotation="0" wrapText="false" indent="0" shrinkToFit="false"/>
      <protection locked="true" hidden="false"/>
    </xf>
    <xf numFmtId="168" fontId="14" fillId="3" borderId="0" xfId="0" applyFont="true" applyBorder="false" applyAlignment="true" applyProtection="false">
      <alignment horizontal="right" vertical="center" textRotation="0" wrapText="false" indent="0" shrinkToFit="false"/>
      <protection locked="true" hidden="false"/>
    </xf>
    <xf numFmtId="170" fontId="11" fillId="0" borderId="0" xfId="0" applyFont="true" applyBorder="false" applyAlignment="true" applyProtection="false">
      <alignment horizontal="right" vertical="center"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71" fontId="0" fillId="0" borderId="0" xfId="0" applyFont="true" applyBorder="false" applyAlignment="true" applyProtection="false">
      <alignment horizontal="right" vertical="center" textRotation="0" wrapText="false" indent="0" shrinkToFit="false"/>
      <protection locked="true" hidden="false"/>
    </xf>
    <xf numFmtId="170" fontId="0" fillId="0" borderId="0" xfId="0" applyFont="true" applyBorder="false" applyAlignment="true" applyProtection="false">
      <alignment horizontal="right" vertical="center" textRotation="0" wrapText="false" indent="0" shrinkToFit="false"/>
      <protection locked="true" hidden="false"/>
    </xf>
    <xf numFmtId="164" fontId="11" fillId="0" borderId="1" xfId="0" applyFont="true" applyBorder="true" applyAlignment="true" applyProtection="false">
      <alignment horizontal="left" vertical="center" textRotation="0" wrapText="false" indent="0" shrinkToFit="false"/>
      <protection locked="true" hidden="false"/>
    </xf>
    <xf numFmtId="170" fontId="11" fillId="0" borderId="1" xfId="0" applyFont="true" applyBorder="true" applyAlignment="true" applyProtection="false">
      <alignment horizontal="right" vertical="center" textRotation="0" wrapText="false" indent="0" shrinkToFit="false"/>
      <protection locked="true" hidden="false"/>
    </xf>
    <xf numFmtId="167" fontId="0" fillId="0" borderId="0" xfId="0" applyFont="true" applyBorder="false" applyAlignment="true" applyProtection="false">
      <alignment horizontal="right" vertical="center" textRotation="0" wrapText="false" indent="0" shrinkToFit="false"/>
      <protection locked="true" hidden="false"/>
    </xf>
    <xf numFmtId="167" fontId="11" fillId="0" borderId="1" xfId="0" applyFont="true" applyBorder="true" applyAlignment="true" applyProtection="false">
      <alignment horizontal="right" vertical="center" textRotation="0" wrapText="false" indent="0" shrinkToFit="false"/>
      <protection locked="true" hidden="false"/>
    </xf>
    <xf numFmtId="171" fontId="11" fillId="0" borderId="0" xfId="0" applyFont="true" applyBorder="false" applyAlignment="true" applyProtection="false">
      <alignment horizontal="right" vertical="center" textRotation="0" wrapText="false" indent="0" shrinkToFit="false"/>
      <protection locked="true" hidden="false"/>
    </xf>
    <xf numFmtId="172" fontId="11" fillId="0" borderId="1" xfId="0" applyFont="true" applyBorder="true" applyAlignment="true" applyProtection="false">
      <alignment horizontal="right" vertical="center" textRotation="0" wrapText="false" indent="0" shrinkToFit="false"/>
      <protection locked="true" hidden="false"/>
    </xf>
    <xf numFmtId="169" fontId="15" fillId="3" borderId="0" xfId="0" applyFont="true" applyBorder="false" applyAlignment="true" applyProtection="false">
      <alignment horizontal="center" vertical="center" textRotation="0" wrapText="false" indent="0" shrinkToFit="false"/>
      <protection locked="true" hidden="false"/>
    </xf>
    <xf numFmtId="169" fontId="15" fillId="3" borderId="0" xfId="0" applyFont="true" applyBorder="false" applyAlignment="true" applyProtection="false">
      <alignment horizontal="right" vertical="center" textRotation="0" wrapText="false" indent="0" shrinkToFit="false"/>
      <protection locked="true" hidden="false"/>
    </xf>
    <xf numFmtId="164" fontId="16"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8" fillId="0" borderId="2" xfId="0" applyFont="true" applyBorder="true" applyAlignment="false" applyProtection="false">
      <alignment horizontal="general" vertical="bottom" textRotation="0" wrapText="false" indent="0" shrinkToFit="false"/>
      <protection locked="true" hidden="false"/>
    </xf>
    <xf numFmtId="164" fontId="13" fillId="4" borderId="0" xfId="0" applyFont="true" applyBorder="false" applyAlignment="true" applyProtection="false">
      <alignment horizontal="left" vertical="center" textRotation="0" wrapText="false" indent="1" shrinkToFit="false"/>
      <protection locked="true" hidden="false"/>
    </xf>
    <xf numFmtId="164" fontId="19" fillId="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4" fontId="22" fillId="5"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DEEAF1"/>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666699"/>
      <rgbColor rgb="FF70AD47"/>
      <rgbColor rgb="FF003366"/>
      <rgbColor rgb="FF00B050"/>
      <rgbColor rgb="FF14532D"/>
      <rgbColor rgb="FF404040"/>
      <rgbColor rgb="FF993300"/>
      <rgbColor rgb="FF993366"/>
      <rgbColor rgb="FF1F4E79"/>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4"/>
    <col collapsed="false" customWidth="true" hidden="false" outlineLevel="0" max="5" min="5" style="0" width="52"/>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6"/>
      <c r="D5" s="6"/>
    </row>
    <row r="6" customFormat="false" ht="15" hidden="false" customHeight="false" outlineLevel="0" collapsed="false">
      <c r="A6" s="6"/>
      <c r="B6" s="8" t="s">
        <v>4</v>
      </c>
      <c r="C6" s="9" t="n">
        <f aca="false">Opening_AUM</f>
        <v>2500</v>
      </c>
      <c r="D6" s="6"/>
    </row>
    <row r="7" customFormat="false" ht="15" hidden="false" customHeight="false" outlineLevel="0" collapsed="false">
      <c r="A7" s="6"/>
      <c r="B7" s="8" t="s">
        <v>5</v>
      </c>
      <c r="C7" s="10" t="n">
        <f aca="false">7</f>
        <v>7</v>
      </c>
      <c r="D7" s="6"/>
    </row>
    <row r="8" customFormat="false" ht="15" hidden="false" customHeight="false" outlineLevel="0" collapsed="false">
      <c r="A8" s="6"/>
      <c r="B8" s="8" t="s">
        <v>6</v>
      </c>
      <c r="C8" s="11" t="n">
        <f aca="false">Advisory_Fee</f>
        <v>0.0085</v>
      </c>
      <c r="D8" s="6"/>
    </row>
    <row r="9" customFormat="false" ht="15" hidden="false" customHeight="false" outlineLevel="0" collapsed="false">
      <c r="A9" s="6"/>
      <c r="B9" s="8" t="s">
        <v>7</v>
      </c>
      <c r="C9" s="12" t="n">
        <f aca="false">Entry_Multiple</f>
        <v>10</v>
      </c>
      <c r="D9" s="6"/>
    </row>
    <row r="10" customFormat="false" ht="15" hidden="false" customHeight="false" outlineLevel="0" collapsed="false">
      <c r="A10" s="6"/>
      <c r="B10" s="8" t="s">
        <v>8</v>
      </c>
      <c r="C10" s="12" t="n">
        <f aca="false">Exit_Multiple</f>
        <v>12</v>
      </c>
      <c r="D10" s="6"/>
    </row>
    <row r="11" customFormat="false" ht="15" hidden="false" customHeight="false" outlineLevel="0" collapsed="false">
      <c r="A11" s="6"/>
      <c r="B11" s="8" t="s">
        <v>9</v>
      </c>
      <c r="C11" s="13" t="n">
        <f aca="false">Discount_Rate</f>
        <v>0.12</v>
      </c>
      <c r="D11" s="6"/>
    </row>
    <row r="12" customFormat="false" ht="15" hidden="false" customHeight="false" outlineLevel="0" collapsed="false">
      <c r="A12" s="6"/>
      <c r="B12" s="6"/>
      <c r="C12" s="6"/>
      <c r="D12" s="6"/>
    </row>
    <row r="13" customFormat="false" ht="15" hidden="false" customHeight="false" outlineLevel="0" collapsed="false">
      <c r="A13" s="6"/>
      <c r="B13" s="6"/>
      <c r="C13" s="6"/>
      <c r="D13" s="6"/>
    </row>
    <row r="14" customFormat="false" ht="15" hidden="false" customHeight="false" outlineLevel="0" collapsed="false">
      <c r="A14" s="6"/>
      <c r="B14" s="7" t="s">
        <v>10</v>
      </c>
      <c r="C14" s="6"/>
      <c r="D14" s="6"/>
    </row>
    <row r="15" customFormat="false" ht="15" hidden="false" customHeight="false" outlineLevel="0" collapsed="false">
      <c r="A15" s="6"/>
      <c r="B15" s="14" t="s">
        <v>11</v>
      </c>
      <c r="C15" s="14" t="s">
        <v>12</v>
      </c>
      <c r="D15" s="14" t="s">
        <v>13</v>
      </c>
    </row>
    <row r="16" customFormat="false" ht="15" hidden="false" customHeight="false" outlineLevel="0" collapsed="false">
      <c r="A16" s="6"/>
      <c r="B16" s="15" t="s">
        <v>14</v>
      </c>
      <c r="C16" s="15" t="s">
        <v>15</v>
      </c>
      <c r="D16" s="15" t="s">
        <v>16</v>
      </c>
    </row>
    <row r="17" customFormat="false" ht="15" hidden="false" customHeight="false" outlineLevel="0" collapsed="false">
      <c r="A17" s="6"/>
      <c r="B17" s="15" t="s">
        <v>17</v>
      </c>
      <c r="C17" s="15" t="s">
        <v>18</v>
      </c>
      <c r="D17" s="15" t="s">
        <v>19</v>
      </c>
    </row>
    <row r="18" customFormat="false" ht="15" hidden="false" customHeight="false" outlineLevel="0" collapsed="false">
      <c r="A18" s="6"/>
      <c r="B18" s="15" t="s">
        <v>20</v>
      </c>
      <c r="C18" s="15" t="s">
        <v>21</v>
      </c>
      <c r="D18" s="15" t="s">
        <v>22</v>
      </c>
    </row>
    <row r="19" customFormat="false" ht="15" hidden="false" customHeight="false" outlineLevel="0" collapsed="false">
      <c r="A19" s="6"/>
      <c r="B19" s="15" t="s">
        <v>23</v>
      </c>
      <c r="C19" s="15" t="s">
        <v>21</v>
      </c>
      <c r="D19" s="15" t="s">
        <v>24</v>
      </c>
    </row>
    <row r="20" customFormat="false" ht="15" hidden="false" customHeight="false" outlineLevel="0" collapsed="false">
      <c r="A20" s="6"/>
      <c r="B20" s="15" t="s">
        <v>25</v>
      </c>
      <c r="C20" s="15" t="s">
        <v>18</v>
      </c>
      <c r="D20" s="15" t="s">
        <v>26</v>
      </c>
    </row>
    <row r="21" customFormat="false" ht="15" hidden="false" customHeight="false" outlineLevel="0" collapsed="false">
      <c r="A21" s="6"/>
      <c r="B21" s="15" t="s">
        <v>27</v>
      </c>
      <c r="C21" s="15" t="s">
        <v>28</v>
      </c>
      <c r="D21" s="15" t="s">
        <v>29</v>
      </c>
    </row>
    <row r="22" customFormat="false" ht="15" hidden="false" customHeight="false" outlineLevel="0" collapsed="false">
      <c r="A22" s="6"/>
      <c r="B22" s="15" t="s">
        <v>30</v>
      </c>
      <c r="C22" s="15" t="s">
        <v>31</v>
      </c>
      <c r="D22" s="15" t="s">
        <v>32</v>
      </c>
    </row>
    <row r="23" customFormat="false" ht="15" hidden="false" customHeight="false" outlineLevel="0" collapsed="false">
      <c r="A23" s="6"/>
      <c r="B23" s="15" t="s">
        <v>33</v>
      </c>
      <c r="C23" s="15" t="s">
        <v>31</v>
      </c>
      <c r="D23" s="15" t="s">
        <v>34</v>
      </c>
    </row>
    <row r="24" customFormat="false" ht="15" hidden="false" customHeight="false" outlineLevel="0" collapsed="false">
      <c r="A24" s="6"/>
      <c r="B24" s="15" t="s">
        <v>35</v>
      </c>
      <c r="C24" s="15" t="s">
        <v>28</v>
      </c>
      <c r="D24" s="15" t="s">
        <v>36</v>
      </c>
    </row>
    <row r="25" customFormat="false" ht="15" hidden="false" customHeight="false" outlineLevel="0" collapsed="false">
      <c r="A25" s="6"/>
      <c r="B25" s="15" t="s">
        <v>37</v>
      </c>
      <c r="C25" s="15" t="s">
        <v>28</v>
      </c>
      <c r="D25" s="15" t="s">
        <v>38</v>
      </c>
    </row>
    <row r="26" customFormat="false" ht="15" hidden="false" customHeight="false" outlineLevel="0" collapsed="false">
      <c r="A26" s="6"/>
      <c r="B26" s="15" t="s">
        <v>39</v>
      </c>
      <c r="C26" s="15" t="s">
        <v>40</v>
      </c>
      <c r="D26" s="15" t="s">
        <v>41</v>
      </c>
    </row>
    <row r="27" customFormat="false" ht="15" hidden="false" customHeight="false" outlineLevel="0" collapsed="false">
      <c r="A27" s="6"/>
      <c r="B27" s="6"/>
      <c r="C27" s="6"/>
      <c r="D27" s="6"/>
    </row>
    <row r="28" customFormat="false" ht="15" hidden="false" customHeight="false" outlineLevel="0" collapsed="false">
      <c r="A28" s="6"/>
      <c r="B28" s="7" t="s">
        <v>42</v>
      </c>
      <c r="C28" s="6"/>
      <c r="D28" s="6"/>
    </row>
    <row r="29" customFormat="false" ht="15" hidden="false" customHeight="false" outlineLevel="0" collapsed="false">
      <c r="A29" s="6"/>
      <c r="B29" s="16" t="s">
        <v>15</v>
      </c>
      <c r="C29" s="8" t="s">
        <v>14</v>
      </c>
      <c r="D29" s="6"/>
    </row>
    <row r="30" customFormat="false" ht="15" hidden="false" customHeight="false" outlineLevel="0" collapsed="false">
      <c r="A30" s="6"/>
      <c r="B30" s="16" t="s">
        <v>18</v>
      </c>
      <c r="C30" s="8" t="s">
        <v>43</v>
      </c>
      <c r="D30" s="6"/>
    </row>
    <row r="31" customFormat="false" ht="15" hidden="false" customHeight="false" outlineLevel="0" collapsed="false">
      <c r="A31" s="6"/>
      <c r="B31" s="16" t="s">
        <v>21</v>
      </c>
      <c r="C31" s="8" t="s">
        <v>44</v>
      </c>
      <c r="D31" s="6"/>
    </row>
    <row r="32" customFormat="false" ht="15" hidden="false" customHeight="false" outlineLevel="0" collapsed="false">
      <c r="A32" s="6"/>
      <c r="B32" s="16" t="s">
        <v>28</v>
      </c>
      <c r="C32" s="8" t="s">
        <v>45</v>
      </c>
      <c r="D32" s="6"/>
    </row>
    <row r="33" customFormat="false" ht="15" hidden="false" customHeight="false" outlineLevel="0" collapsed="false">
      <c r="A33" s="6"/>
      <c r="B33" s="16" t="s">
        <v>31</v>
      </c>
      <c r="C33" s="8" t="s">
        <v>46</v>
      </c>
      <c r="D33" s="6"/>
    </row>
    <row r="34" customFormat="false" ht="15" hidden="false" customHeight="false" outlineLevel="0" collapsed="false">
      <c r="A34" s="6"/>
      <c r="B34" s="16" t="s">
        <v>40</v>
      </c>
      <c r="C34" s="8" t="s">
        <v>47</v>
      </c>
      <c r="D34" s="6"/>
    </row>
    <row r="35" customFormat="false" ht="15" hidden="false" customHeight="false" outlineLevel="0" collapsed="false">
      <c r="A35" s="6"/>
      <c r="B35" s="6"/>
      <c r="C35" s="6"/>
      <c r="D35" s="6"/>
    </row>
    <row r="36" customFormat="false" ht="15" hidden="false" customHeight="false" outlineLevel="0" collapsed="false">
      <c r="A36" s="6"/>
      <c r="B36" s="8" t="s">
        <v>48</v>
      </c>
      <c r="C36" s="6"/>
      <c r="D36" s="6"/>
    </row>
    <row r="37" customFormat="false" ht="15" hidden="false" customHeight="false" outlineLevel="0" collapsed="false">
      <c r="A37" s="6"/>
      <c r="B37" s="17" t="s">
        <v>49</v>
      </c>
      <c r="C37" s="6"/>
      <c r="D37" s="6"/>
    </row>
  </sheetData>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8" t="s">
        <v>37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9" t="s">
        <v>231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7" t="s">
        <v>232</v>
      </c>
      <c r="C5" s="6"/>
      <c r="D5" s="6"/>
      <c r="E5" s="6"/>
      <c r="F5" s="6"/>
      <c r="G5" s="6"/>
    </row>
    <row r="6" customFormat="false" ht="15" hidden="false" customHeight="false" outlineLevel="0" collapsed="false">
      <c r="A6" s="6"/>
      <c r="B6" s="7" t="s">
        <v>233</v>
      </c>
      <c r="C6" s="39" t="n">
        <v>-0.02</v>
      </c>
      <c r="D6" s="39" t="n">
        <v>-0.01</v>
      </c>
      <c r="E6" s="39" t="n">
        <v>0</v>
      </c>
      <c r="F6" s="39" t="n">
        <v>0.01</v>
      </c>
      <c r="G6" s="39" t="n">
        <v>0.02</v>
      </c>
    </row>
    <row r="7" customFormat="false" ht="15" hidden="false" customHeight="false" outlineLevel="0" collapsed="false">
      <c r="A7" s="6"/>
      <c r="B7" s="40" t="n">
        <v>-0.04</v>
      </c>
      <c r="C7" s="32" t="n">
        <f aca="false">Opening_AUM*1000000*(1+(Net_Flow_Rate+$B7)+(Market_Return+C$6))^7*Revenue!J14*Income_Statement!J15*Exit_Multiple</f>
        <v>116038274.86949</v>
      </c>
      <c r="D7" s="32" t="n">
        <f aca="false">Opening_AUM*1000000*(1+(Net_Flow_Rate+$B7)+(Market_Return+D$6))^7*Revenue!J14*Income_Statement!J15*Exit_Multiple</f>
        <v>123771444.854476</v>
      </c>
      <c r="E7" s="32" t="n">
        <f aca="false">Opening_AUM*1000000*(1+(Net_Flow_Rate+$B7)+(Market_Return+E$6))^7*Revenue!J14*Income_Statement!J15*Exit_Multiple</f>
        <v>131942215.203726</v>
      </c>
      <c r="F7" s="32" t="n">
        <f aca="false">Opening_AUM*1000000*(1+(Net_Flow_Rate+$B7)+(Market_Return+F$6))^7*Revenue!J14*Income_Statement!J15*Exit_Multiple</f>
        <v>140571029.879689</v>
      </c>
      <c r="G7" s="32" t="n">
        <f aca="false">Opening_AUM*1000000*(1+(Net_Flow_Rate+$B7)+(Market_Return+G$6))^7*Revenue!J14*Income_Statement!J15*Exit_Multiple</f>
        <v>149679089.901171</v>
      </c>
    </row>
    <row r="8" customFormat="false" ht="15" hidden="false" customHeight="false" outlineLevel="0" collapsed="false">
      <c r="A8" s="6"/>
      <c r="B8" s="40" t="n">
        <v>-0.02</v>
      </c>
      <c r="C8" s="32" t="n">
        <f aca="false">Opening_AUM*1000000*(1+(Net_Flow_Rate+$B8)+(Market_Return+C$6))^7*Revenue!J14*Income_Statement!J15*Exit_Multiple</f>
        <v>131942215.203726</v>
      </c>
      <c r="D8" s="32" t="n">
        <f aca="false">Opening_AUM*1000000*(1+(Net_Flow_Rate+$B8)+(Market_Return+D$6))^7*Revenue!J14*Income_Statement!J15*Exit_Multiple</f>
        <v>140571029.879689</v>
      </c>
      <c r="E8" s="32" t="n">
        <f aca="false">Opening_AUM*1000000*(1+(Net_Flow_Rate+$B8)+(Market_Return+E$6))^7*Revenue!J14*Income_Statement!J15*Exit_Multiple</f>
        <v>149679089.901171</v>
      </c>
      <c r="F8" s="32" t="n">
        <f aca="false">Opening_AUM*1000000*(1+(Net_Flow_Rate+$B8)+(Market_Return+F$6))^7*Revenue!J14*Income_Statement!J15*Exit_Multiple</f>
        <v>159288374.17743</v>
      </c>
      <c r="G8" s="32" t="n">
        <f aca="false">Opening_AUM*1000000*(1+(Net_Flow_Rate+$B8)+(Market_Return+G$6))^7*Revenue!J14*Income_Statement!J15*Exit_Multiple</f>
        <v>169421660.721077</v>
      </c>
    </row>
    <row r="9" customFormat="false" ht="15" hidden="false" customHeight="false" outlineLevel="0" collapsed="false">
      <c r="A9" s="6"/>
      <c r="B9" s="40" t="n">
        <v>0</v>
      </c>
      <c r="C9" s="32" t="n">
        <f aca="false">Opening_AUM*1000000*(1+(Net_Flow_Rate+$B9)+(Market_Return+C$6))^7*Revenue!J14*Income_Statement!J15*Exit_Multiple</f>
        <v>149679089.901171</v>
      </c>
      <c r="D9" s="32" t="n">
        <f aca="false">Opening_AUM*1000000*(1+(Net_Flow_Rate+$B9)+(Market_Return+D$6))^7*Revenue!J14*Income_Statement!J15*Exit_Multiple</f>
        <v>159288374.17743</v>
      </c>
      <c r="E9" s="32" t="n">
        <f aca="false">Opening_AUM*1000000*(1+(Net_Flow_Rate+$B9)+(Market_Return+E$6))^7*Revenue!J14*Income_Statement!J15*Exit_Multiple</f>
        <v>169421660.721077</v>
      </c>
      <c r="F9" s="32" t="n">
        <f aca="false">Opening_AUM*1000000*(1+(Net_Flow_Rate+$B9)+(Market_Return+F$6))^7*Revenue!J14*Income_Statement!J15*Exit_Multiple</f>
        <v>180102548.243148</v>
      </c>
      <c r="G9" s="32" t="n">
        <f aca="false">Opening_AUM*1000000*(1+(Net_Flow_Rate+$B9)+(Market_Return+G$6))^7*Revenue!J14*Income_Statement!J15*Exit_Multiple</f>
        <v>191355478.133796</v>
      </c>
    </row>
    <row r="10" customFormat="false" ht="15" hidden="false" customHeight="false" outlineLevel="0" collapsed="false">
      <c r="A10" s="6"/>
      <c r="B10" s="40" t="n">
        <v>0.02</v>
      </c>
      <c r="C10" s="32" t="n">
        <f aca="false">Opening_AUM*1000000*(1+(Net_Flow_Rate+$B10)+(Market_Return+C$6))^7*Revenue!J14*Income_Statement!J15*Exit_Multiple</f>
        <v>169421660.721077</v>
      </c>
      <c r="D10" s="32" t="n">
        <f aca="false">Opening_AUM*1000000*(1+(Net_Flow_Rate+$B10)+(Market_Return+D$6))^7*Revenue!J14*Income_Statement!J15*Exit_Multiple</f>
        <v>180102548.243148</v>
      </c>
      <c r="E10" s="32" t="n">
        <f aca="false">Opening_AUM*1000000*(1+(Net_Flow_Rate+$B10)+(Market_Return+E$6))^7*Revenue!J14*Income_Statement!J15*Exit_Multiple</f>
        <v>191355478.133796</v>
      </c>
      <c r="F10" s="32" t="n">
        <f aca="false">Opening_AUM*1000000*(1+(Net_Flow_Rate+$B10)+(Market_Return+F$6))^7*Revenue!J14*Income_Statement!J15*Exit_Multiple</f>
        <v>203205756.831999</v>
      </c>
      <c r="G10" s="32" t="n">
        <f aca="false">Opening_AUM*1000000*(1+(Net_Flow_Rate+$B10)+(Market_Return+G$6))^7*Revenue!J14*Income_Statement!J15*Exit_Multiple</f>
        <v>215679578.587696</v>
      </c>
    </row>
    <row r="11" customFormat="false" ht="15" hidden="false" customHeight="false" outlineLevel="0" collapsed="false">
      <c r="A11" s="6"/>
      <c r="B11" s="40" t="n">
        <v>0.04</v>
      </c>
      <c r="C11" s="32" t="n">
        <f aca="false">Opening_AUM*1000000*(1+(Net_Flow_Rate+$B11)+(Market_Return+C$6))^7*Revenue!J14*Income_Statement!J15*Exit_Multiple</f>
        <v>191355478.133796</v>
      </c>
      <c r="D11" s="32" t="n">
        <f aca="false">Opening_AUM*1000000*(1+(Net_Flow_Rate+$B11)+(Market_Return+D$6))^7*Revenue!J14*Income_Statement!J15*Exit_Multiple</f>
        <v>203205756.831999</v>
      </c>
      <c r="E11" s="32" t="n">
        <f aca="false">Opening_AUM*1000000*(1+(Net_Flow_Rate+$B11)+(Market_Return+E$6))^7*Revenue!J14*Income_Statement!J15*Exit_Multiple</f>
        <v>215679578.587696</v>
      </c>
      <c r="F11" s="32" t="n">
        <f aca="false">Opening_AUM*1000000*(1+(Net_Flow_Rate+$B11)+(Market_Return+F$6))^7*Revenue!J14*Income_Statement!J15*Exit_Multiple</f>
        <v>228804048.61977</v>
      </c>
      <c r="G11" s="32" t="n">
        <f aca="false">Opening_AUM*1000000*(1+(Net_Flow_Rate+$B11)+(Market_Return+G$6))^7*Revenue!J14*Income_Statement!J15*Exit_Multiple</f>
        <v>242607206.673282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2"/>
    <col collapsed="false" customWidth="true" hidden="false" outlineLevel="0" max="10" min="3" style="0" width="16"/>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8" t="s">
        <v>234</v>
      </c>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9" t="s">
        <v>235</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18" t="s">
        <v>236</v>
      </c>
      <c r="C5" s="19" t="s">
        <v>237</v>
      </c>
      <c r="D5" s="19" t="s">
        <v>238</v>
      </c>
    </row>
    <row r="6" customFormat="false" ht="15" hidden="false" customHeight="false" outlineLevel="0" collapsed="false">
      <c r="A6" s="6"/>
      <c r="B6" s="6"/>
      <c r="C6" s="6"/>
      <c r="D6" s="6"/>
    </row>
    <row r="7" customFormat="false" ht="15" hidden="false" customHeight="false" outlineLevel="0" collapsed="false">
      <c r="A7" s="6"/>
      <c r="B7" s="8" t="s">
        <v>239</v>
      </c>
      <c r="C7" s="31" t="n">
        <f aca="false">IF(SUMPRODUCT(--(ABS(AUM_Rollforward!D13:J13-AUM_Rollforward!D8:J8-AUM_Rollforward!D11:J11-AUM_Rollforward!D12:J12)&gt;0.01))=0,0,1)</f>
        <v>0</v>
      </c>
      <c r="D7" s="41" t="str">
        <f aca="false">IF(C7=0,"PASS","FAIL")</f>
        <v>PASS</v>
      </c>
    </row>
    <row r="8" customFormat="false" ht="15" hidden="false" customHeight="false" outlineLevel="0" collapsed="false">
      <c r="A8" s="6"/>
      <c r="B8" s="8" t="s">
        <v>240</v>
      </c>
      <c r="C8" s="31" t="n">
        <f aca="false">IF(SUMPRODUCT(--(ABS(Revenue!C13:J13-Revenue!C9:J9-Revenue!C11:J11-Revenue!C12:J12)&gt;1))=0,0,1)</f>
        <v>0</v>
      </c>
      <c r="D8" s="41" t="str">
        <f aca="false">IF(C8=0,"PASS","FAIL")</f>
        <v>PASS</v>
      </c>
    </row>
    <row r="9" customFormat="false" ht="15" hidden="false" customHeight="false" outlineLevel="0" collapsed="false">
      <c r="A9" s="6"/>
      <c r="B9" s="8" t="s">
        <v>241</v>
      </c>
      <c r="C9" s="31" t="n">
        <f aca="false">IF(SUMPRODUCT(--(ABS(Expenses!C16:J16-Expenses!C8:J8-Expenses!C9:J9-Expenses!C10:J10-Expenses!C11:J11-Expenses!C12:J12-Expenses!C13:J13-Expenses!C14:J14-Expenses!C15:J15)&gt;1))=0,0,1)</f>
        <v>0</v>
      </c>
      <c r="D9" s="41" t="str">
        <f aca="false">IF(C9=0,"PASS","FAIL")</f>
        <v>PASS</v>
      </c>
    </row>
    <row r="10" customFormat="false" ht="15" hidden="false" customHeight="false" outlineLevel="0" collapsed="false">
      <c r="A10" s="6"/>
      <c r="B10" s="8" t="s">
        <v>242</v>
      </c>
      <c r="C10" s="31" t="n">
        <f aca="false">IF(AND(MIN(Income_Statement!C15:J15)&gt;=EBMargin_Floor,MAX(Income_Statement!C15:J15)&lt;=EBMargin_Cap),0,1)</f>
        <v>0</v>
      </c>
      <c r="D10" s="41" t="str">
        <f aca="false">IF(C10=0,"PASS","FAIL")</f>
        <v>PASS</v>
      </c>
    </row>
    <row r="11" customFormat="false" ht="15" hidden="false" customHeight="false" outlineLevel="0" collapsed="false">
      <c r="A11" s="6"/>
      <c r="B11" s="8" t="s">
        <v>243</v>
      </c>
      <c r="C11" s="31" t="n">
        <f aca="false">IF(Income_Statement!J14&gt;0,0,1)</f>
        <v>0</v>
      </c>
      <c r="D11" s="41" t="str">
        <f aca="false">IF(C11=0,"PASS","FAIL")</f>
        <v>PASS</v>
      </c>
    </row>
    <row r="12" customFormat="false" ht="15" hidden="false" customHeight="false" outlineLevel="0" collapsed="false">
      <c r="A12" s="6"/>
      <c r="B12" s="8" t="s">
        <v>244</v>
      </c>
      <c r="C12" s="31" t="n">
        <f aca="false">IF(Cash_Flow!J14&gt;0,0,1)</f>
        <v>0</v>
      </c>
      <c r="D12" s="41" t="str">
        <f aca="false">IF(C12=0,"PASS","FAIL")</f>
        <v>PASS</v>
      </c>
    </row>
    <row r="13" customFormat="false" ht="15" hidden="false" customHeight="false" outlineLevel="0" collapsed="false">
      <c r="A13" s="6"/>
      <c r="B13" s="8" t="s">
        <v>245</v>
      </c>
      <c r="C13" s="31" t="n">
        <f aca="false">IF(AND(Valuation!C24&gt;=IRR_Floor,Valuation!C24&lt;=IRR_Cap),0,1)</f>
        <v>0</v>
      </c>
      <c r="D13" s="41" t="str">
        <f aca="false">IF(C13=0,"PASS","FAIL")</f>
        <v>PASS</v>
      </c>
    </row>
    <row r="14" customFormat="false" ht="15" hidden="false" customHeight="false" outlineLevel="0" collapsed="false">
      <c r="A14" s="6"/>
      <c r="B14" s="8" t="s">
        <v>246</v>
      </c>
      <c r="C14" s="31" t="n">
        <f aca="false">IF(AND(MIN(Headcount!$C$11:$J$11)&gt;=AUM_Adv_Floor,MAX(Headcount!$C$11:$J$11)&lt;=AUM_Adv_Cap),0,1)</f>
        <v>0</v>
      </c>
      <c r="D14" s="41" t="str">
        <f aca="false">IF(C14=0,"PASS","FAIL")</f>
        <v>PASS</v>
      </c>
    </row>
    <row r="15" customFormat="false" ht="15" hidden="false" customHeight="false" outlineLevel="0" collapsed="false">
      <c r="A15" s="6"/>
      <c r="B15" s="8" t="s">
        <v>247</v>
      </c>
      <c r="C15" s="31" t="n">
        <f aca="false">IF(MIN(Cash_Flow!$C$19:$J$19)&gt;=-1,0,1)</f>
        <v>0</v>
      </c>
      <c r="D15" s="41" t="str">
        <f aca="false">IF(C15=0,"PASS","FAIL")</f>
        <v>PASS</v>
      </c>
    </row>
    <row r="16" customFormat="false" ht="15" hidden="false" customHeight="false" outlineLevel="0" collapsed="false">
      <c r="A16" s="6"/>
      <c r="B16" s="6"/>
      <c r="C16" s="6"/>
      <c r="D16" s="6"/>
    </row>
    <row r="17" customFormat="false" ht="15" hidden="false" customHeight="false" outlineLevel="0" collapsed="false">
      <c r="A17" s="6"/>
      <c r="B17" s="16" t="s">
        <v>248</v>
      </c>
      <c r="C17" s="42" t="str">
        <f aca="false">IF(SUM(C7:C15)=0,"YES","NO")</f>
        <v>YES</v>
      </c>
      <c r="D17" s="41" t="str">
        <f aca="false">IF(SUM(C7:C15)=0,"PASS","FAIL")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3" t="s">
        <v>249</v>
      </c>
    </row>
    <row r="3" customFormat="false" ht="3.75" hidden="false" customHeight="true" outlineLevel="0" collapsed="false">
      <c r="B3" s="44"/>
    </row>
    <row r="6" customFormat="false" ht="19.5" hidden="false" customHeight="true" outlineLevel="0" collapsed="false">
      <c r="B6" s="45" t="s">
        <v>250</v>
      </c>
    </row>
    <row r="7" customFormat="false" ht="48" hidden="false" customHeight="true" outlineLevel="0" collapsed="false">
      <c r="B7" s="46" t="s">
        <v>251</v>
      </c>
    </row>
    <row r="9" customFormat="false" ht="19.5" hidden="false" customHeight="true" outlineLevel="0" collapsed="false">
      <c r="B9" s="45" t="s">
        <v>252</v>
      </c>
    </row>
    <row r="10" customFormat="false" ht="61.5" hidden="false" customHeight="true" outlineLevel="0" collapsed="false">
      <c r="B10" s="46" t="s">
        <v>253</v>
      </c>
    </row>
    <row r="12" customFormat="false" ht="19.5" hidden="false" customHeight="true" outlineLevel="0" collapsed="false">
      <c r="B12" s="45" t="s">
        <v>254</v>
      </c>
    </row>
    <row r="13" customFormat="false" ht="75.75" hidden="false" customHeight="true" outlineLevel="0" collapsed="false">
      <c r="B13" s="46" t="s">
        <v>255</v>
      </c>
    </row>
    <row r="15" customFormat="false" ht="19.5" hidden="false" customHeight="true" outlineLevel="0" collapsed="false">
      <c r="B15" s="45" t="s">
        <v>256</v>
      </c>
    </row>
    <row r="16" customFormat="false" ht="61.5" hidden="false" customHeight="true" outlineLevel="0" collapsed="false">
      <c r="B16" s="46" t="s">
        <v>257</v>
      </c>
    </row>
    <row r="18" customFormat="false" ht="19.5" hidden="false" customHeight="true" outlineLevel="0" collapsed="false">
      <c r="B18" s="45" t="s">
        <v>258</v>
      </c>
    </row>
    <row r="19" customFormat="false" ht="33.75" hidden="false" customHeight="true" outlineLevel="0" collapsed="false">
      <c r="B19" s="46" t="s">
        <v>259</v>
      </c>
    </row>
    <row r="21" customFormat="false" ht="19.5" hidden="false" customHeight="true" outlineLevel="0" collapsed="false">
      <c r="B21" s="45" t="s">
        <v>260</v>
      </c>
    </row>
    <row r="22" customFormat="false" ht="33.75" hidden="false" customHeight="true" outlineLevel="0" collapsed="false">
      <c r="B22" s="46" t="s">
        <v>261</v>
      </c>
    </row>
    <row r="24" customFormat="false" ht="21.75" hidden="false" customHeight="true" outlineLevel="0" collapsed="false">
      <c r="B24" s="47" t="s">
        <v>262</v>
      </c>
    </row>
    <row r="26" customFormat="false" ht="18" hidden="false" customHeight="true" outlineLevel="0" collapsed="false">
      <c r="B26" s="48" t="s">
        <v>263</v>
      </c>
    </row>
    <row r="27" customFormat="false" ht="201.75" hidden="false" customHeight="true" outlineLevel="0" collapsed="false">
      <c r="B27" s="49" t="s">
        <v>264</v>
      </c>
    </row>
    <row r="29" customFormat="false" ht="18" hidden="false" customHeight="true" outlineLevel="0" collapsed="false">
      <c r="B29" s="50" t="s">
        <v>265</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5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6"/>
    <col collapsed="false" customWidth="true" hidden="false" outlineLevel="0" max="4" min="4" style="0" width="14"/>
    <col collapsed="false" customWidth="true" hidden="false" outlineLevel="0" max="5" min="5" style="0" width="44"/>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17</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50</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18"/>
      <c r="B4" s="19" t="s">
        <v>51</v>
      </c>
      <c r="C4" s="19" t="s">
        <v>52</v>
      </c>
      <c r="D4" s="19" t="s">
        <v>53</v>
      </c>
      <c r="E4" s="19" t="s">
        <v>54</v>
      </c>
    </row>
    <row r="5" customFormat="false" ht="15" hidden="false" customHeight="false" outlineLevel="0" collapsed="false">
      <c r="A5" s="6"/>
      <c r="B5" s="7" t="s">
        <v>55</v>
      </c>
      <c r="C5" s="6"/>
      <c r="D5" s="6"/>
      <c r="E5" s="6"/>
    </row>
    <row r="6" customFormat="false" ht="15" hidden="false" customHeight="false" outlineLevel="0" collapsed="false">
      <c r="A6" s="6"/>
      <c r="B6" s="8" t="s">
        <v>56</v>
      </c>
      <c r="C6" s="20" t="n">
        <v>2500</v>
      </c>
      <c r="D6" s="8" t="s">
        <v>57</v>
      </c>
      <c r="E6" s="8" t="s">
        <v>58</v>
      </c>
    </row>
    <row r="7" customFormat="false" ht="15" hidden="false" customHeight="false" outlineLevel="0" collapsed="false">
      <c r="A7" s="6"/>
      <c r="B7" s="8" t="s">
        <v>59</v>
      </c>
      <c r="C7" s="21" t="n">
        <v>0.14</v>
      </c>
      <c r="D7" s="8" t="s">
        <v>60</v>
      </c>
      <c r="E7" s="8" t="s">
        <v>61</v>
      </c>
    </row>
    <row r="8" customFormat="false" ht="15" hidden="false" customHeight="false" outlineLevel="0" collapsed="false">
      <c r="A8" s="6"/>
      <c r="B8" s="8" t="s">
        <v>62</v>
      </c>
      <c r="C8" s="21" t="n">
        <v>0.06</v>
      </c>
      <c r="D8" s="8" t="s">
        <v>60</v>
      </c>
      <c r="E8" s="8" t="s">
        <v>63</v>
      </c>
    </row>
    <row r="9" customFormat="false" ht="15" hidden="false" customHeight="false" outlineLevel="0" collapsed="false">
      <c r="A9" s="6"/>
      <c r="B9" s="8" t="s">
        <v>64</v>
      </c>
      <c r="C9" s="21" t="n">
        <v>0.06</v>
      </c>
      <c r="D9" s="8" t="s">
        <v>65</v>
      </c>
      <c r="E9" s="8" t="s">
        <v>66</v>
      </c>
    </row>
    <row r="10" customFormat="false" ht="15" hidden="false" customHeight="false" outlineLevel="0" collapsed="false">
      <c r="A10" s="6"/>
      <c r="B10" s="6"/>
      <c r="C10" s="6"/>
      <c r="D10" s="6"/>
      <c r="E10" s="6"/>
    </row>
    <row r="11" customFormat="false" ht="15" hidden="false" customHeight="false" outlineLevel="0" collapsed="false">
      <c r="A11" s="6"/>
      <c r="B11" s="7" t="s">
        <v>23</v>
      </c>
      <c r="C11" s="6"/>
      <c r="D11" s="6"/>
      <c r="E11" s="6"/>
    </row>
    <row r="12" customFormat="false" ht="15" hidden="false" customHeight="false" outlineLevel="0" collapsed="false">
      <c r="A12" s="6"/>
      <c r="B12" s="8" t="s">
        <v>6</v>
      </c>
      <c r="C12" s="22" t="n">
        <v>0.0085</v>
      </c>
      <c r="D12" s="8" t="s">
        <v>67</v>
      </c>
      <c r="E12" s="8" t="s">
        <v>68</v>
      </c>
    </row>
    <row r="13" customFormat="false" ht="15" hidden="false" customHeight="false" outlineLevel="0" collapsed="false">
      <c r="A13" s="6"/>
      <c r="B13" s="8" t="s">
        <v>69</v>
      </c>
      <c r="C13" s="21" t="n">
        <v>0.01</v>
      </c>
      <c r="D13" s="8" t="s">
        <v>70</v>
      </c>
      <c r="E13" s="8" t="s">
        <v>71</v>
      </c>
    </row>
    <row r="14" customFormat="false" ht="15" hidden="false" customHeight="false" outlineLevel="0" collapsed="false">
      <c r="A14" s="6"/>
      <c r="B14" s="8" t="s">
        <v>72</v>
      </c>
      <c r="C14" s="23" t="n">
        <v>1200</v>
      </c>
      <c r="D14" s="8" t="s">
        <v>73</v>
      </c>
      <c r="E14" s="8" t="s">
        <v>74</v>
      </c>
    </row>
    <row r="15" customFormat="false" ht="15" hidden="false" customHeight="false" outlineLevel="0" collapsed="false">
      <c r="A15" s="6"/>
      <c r="B15" s="8" t="s">
        <v>75</v>
      </c>
      <c r="C15" s="21" t="n">
        <v>0.07</v>
      </c>
      <c r="D15" s="8" t="s">
        <v>65</v>
      </c>
      <c r="E15" s="8" t="s">
        <v>76</v>
      </c>
    </row>
    <row r="16" customFormat="false" ht="15" hidden="false" customHeight="false" outlineLevel="0" collapsed="false">
      <c r="A16" s="6"/>
      <c r="B16" s="8" t="s">
        <v>77</v>
      </c>
      <c r="C16" s="20" t="n">
        <v>2500</v>
      </c>
      <c r="D16" s="8" t="s">
        <v>78</v>
      </c>
      <c r="E16" s="8" t="s">
        <v>79</v>
      </c>
    </row>
    <row r="17" customFormat="false" ht="15" hidden="false" customHeight="false" outlineLevel="0" collapsed="false">
      <c r="A17" s="6"/>
      <c r="B17" s="8" t="s">
        <v>80</v>
      </c>
      <c r="C17" s="21" t="n">
        <v>0.03</v>
      </c>
      <c r="D17" s="8" t="s">
        <v>81</v>
      </c>
      <c r="E17" s="8" t="s">
        <v>82</v>
      </c>
    </row>
    <row r="18" customFormat="false" ht="15" hidden="false" customHeight="false" outlineLevel="0" collapsed="false">
      <c r="A18" s="6"/>
      <c r="B18" s="6"/>
      <c r="C18" s="6"/>
      <c r="D18" s="6"/>
      <c r="E18" s="6"/>
    </row>
    <row r="19" customFormat="false" ht="15" hidden="false" customHeight="false" outlineLevel="0" collapsed="false">
      <c r="A19" s="6"/>
      <c r="B19" s="7" t="s">
        <v>83</v>
      </c>
      <c r="C19" s="6"/>
      <c r="D19" s="6"/>
      <c r="E19" s="6"/>
    </row>
    <row r="20" customFormat="false" ht="15" hidden="false" customHeight="false" outlineLevel="0" collapsed="false">
      <c r="A20" s="6"/>
      <c r="B20" s="8" t="s">
        <v>84</v>
      </c>
      <c r="C20" s="20" t="n">
        <v>220</v>
      </c>
      <c r="D20" s="8" t="s">
        <v>57</v>
      </c>
      <c r="E20" s="8" t="s">
        <v>85</v>
      </c>
    </row>
    <row r="21" customFormat="false" ht="15" hidden="false" customHeight="false" outlineLevel="0" collapsed="false">
      <c r="A21" s="6"/>
      <c r="B21" s="8" t="s">
        <v>86</v>
      </c>
      <c r="C21" s="24" t="n">
        <v>1.8</v>
      </c>
      <c r="D21" s="8" t="s">
        <v>87</v>
      </c>
      <c r="E21" s="8" t="s">
        <v>88</v>
      </c>
    </row>
    <row r="22" customFormat="false" ht="15" hidden="false" customHeight="false" outlineLevel="0" collapsed="false">
      <c r="A22" s="6"/>
      <c r="B22" s="8" t="s">
        <v>89</v>
      </c>
      <c r="C22" s="21" t="n">
        <v>0.42</v>
      </c>
      <c r="D22" s="8" t="s">
        <v>90</v>
      </c>
      <c r="E22" s="8" t="s">
        <v>91</v>
      </c>
    </row>
    <row r="23" customFormat="false" ht="15" hidden="false" customHeight="false" outlineLevel="0" collapsed="false">
      <c r="A23" s="6"/>
      <c r="B23" s="8" t="s">
        <v>92</v>
      </c>
      <c r="C23" s="20" t="n">
        <v>95000</v>
      </c>
      <c r="D23" s="8" t="s">
        <v>78</v>
      </c>
      <c r="E23" s="8" t="s">
        <v>93</v>
      </c>
    </row>
    <row r="24" customFormat="false" ht="15" hidden="false" customHeight="false" outlineLevel="0" collapsed="false">
      <c r="A24" s="6"/>
      <c r="B24" s="8" t="s">
        <v>94</v>
      </c>
      <c r="C24" s="21" t="n">
        <v>0.22</v>
      </c>
      <c r="D24" s="8" t="s">
        <v>95</v>
      </c>
      <c r="E24" s="8" t="s">
        <v>96</v>
      </c>
    </row>
    <row r="25" customFormat="false" ht="15" hidden="false" customHeight="false" outlineLevel="0" collapsed="false">
      <c r="A25" s="6"/>
      <c r="B25" s="6"/>
      <c r="C25" s="6"/>
      <c r="D25" s="6"/>
      <c r="E25" s="6"/>
    </row>
    <row r="26" customFormat="false" ht="15" hidden="false" customHeight="false" outlineLevel="0" collapsed="false">
      <c r="A26" s="6"/>
      <c r="B26" s="7" t="s">
        <v>97</v>
      </c>
      <c r="C26" s="6"/>
      <c r="D26" s="6"/>
      <c r="E26" s="6"/>
    </row>
    <row r="27" customFormat="false" ht="15" hidden="false" customHeight="false" outlineLevel="0" collapsed="false">
      <c r="A27" s="6"/>
      <c r="B27" s="8" t="s">
        <v>98</v>
      </c>
      <c r="C27" s="25" t="n">
        <v>0.0004</v>
      </c>
      <c r="D27" s="8" t="s">
        <v>67</v>
      </c>
      <c r="E27" s="8" t="s">
        <v>99</v>
      </c>
    </row>
    <row r="28" customFormat="false" ht="15" hidden="false" customHeight="false" outlineLevel="0" collapsed="false">
      <c r="A28" s="6"/>
      <c r="B28" s="8" t="s">
        <v>100</v>
      </c>
      <c r="C28" s="20" t="n">
        <v>34000</v>
      </c>
      <c r="D28" s="8" t="s">
        <v>78</v>
      </c>
      <c r="E28" s="8" t="s">
        <v>101</v>
      </c>
    </row>
    <row r="29" customFormat="false" ht="15" hidden="false" customHeight="false" outlineLevel="0" collapsed="false">
      <c r="A29" s="6"/>
      <c r="B29" s="8" t="s">
        <v>102</v>
      </c>
      <c r="C29" s="20" t="n">
        <v>1400000</v>
      </c>
      <c r="D29" s="8" t="s">
        <v>78</v>
      </c>
      <c r="E29" s="8" t="s">
        <v>103</v>
      </c>
    </row>
    <row r="30" customFormat="false" ht="15" hidden="false" customHeight="false" outlineLevel="0" collapsed="false">
      <c r="A30" s="6"/>
      <c r="B30" s="8" t="s">
        <v>104</v>
      </c>
      <c r="C30" s="20" t="n">
        <v>650000</v>
      </c>
      <c r="D30" s="8" t="s">
        <v>78</v>
      </c>
      <c r="E30" s="8" t="s">
        <v>105</v>
      </c>
    </row>
    <row r="31" customFormat="false" ht="15" hidden="false" customHeight="false" outlineLevel="0" collapsed="false">
      <c r="A31" s="6"/>
      <c r="B31" s="8" t="s">
        <v>106</v>
      </c>
      <c r="C31" s="21" t="n">
        <v>0.03</v>
      </c>
      <c r="D31" s="8" t="s">
        <v>65</v>
      </c>
      <c r="E31" s="8" t="s">
        <v>107</v>
      </c>
    </row>
    <row r="32" customFormat="false" ht="15" hidden="false" customHeight="false" outlineLevel="0" collapsed="false">
      <c r="A32" s="6"/>
      <c r="B32" s="8" t="s">
        <v>108</v>
      </c>
      <c r="C32" s="21" t="n">
        <v>0.06</v>
      </c>
      <c r="D32" s="8" t="s">
        <v>109</v>
      </c>
      <c r="E32" s="8" t="s">
        <v>110</v>
      </c>
    </row>
    <row r="33" customFormat="false" ht="15" hidden="false" customHeight="false" outlineLevel="0" collapsed="false">
      <c r="A33" s="6"/>
      <c r="B33" s="8" t="s">
        <v>111</v>
      </c>
      <c r="C33" s="21" t="n">
        <v>0.09</v>
      </c>
      <c r="D33" s="8" t="s">
        <v>109</v>
      </c>
      <c r="E33" s="8" t="s">
        <v>112</v>
      </c>
    </row>
    <row r="34" customFormat="false" ht="15" hidden="false" customHeight="false" outlineLevel="0" collapsed="false">
      <c r="A34" s="6"/>
      <c r="B34" s="6"/>
      <c r="C34" s="6"/>
      <c r="D34" s="6"/>
      <c r="E34" s="6"/>
    </row>
    <row r="35" customFormat="false" ht="15" hidden="false" customHeight="false" outlineLevel="0" collapsed="false">
      <c r="A35" s="6"/>
      <c r="B35" s="7" t="s">
        <v>113</v>
      </c>
      <c r="C35" s="6"/>
      <c r="D35" s="6"/>
      <c r="E35" s="6"/>
    </row>
    <row r="36" customFormat="false" ht="15" hidden="false" customHeight="false" outlineLevel="0" collapsed="false">
      <c r="A36" s="6"/>
      <c r="B36" s="8" t="s">
        <v>114</v>
      </c>
      <c r="C36" s="20" t="n">
        <v>260000</v>
      </c>
      <c r="D36" s="8" t="s">
        <v>78</v>
      </c>
      <c r="E36" s="8" t="s">
        <v>115</v>
      </c>
    </row>
    <row r="37" customFormat="false" ht="15" hidden="false" customHeight="false" outlineLevel="0" collapsed="false">
      <c r="A37" s="6"/>
      <c r="B37" s="8" t="s">
        <v>116</v>
      </c>
      <c r="C37" s="20" t="n">
        <v>300000</v>
      </c>
      <c r="D37" s="8" t="s">
        <v>78</v>
      </c>
      <c r="E37" s="8" t="s">
        <v>117</v>
      </c>
    </row>
    <row r="38" customFormat="false" ht="15" hidden="false" customHeight="false" outlineLevel="0" collapsed="false">
      <c r="A38" s="6"/>
      <c r="B38" s="8" t="s">
        <v>118</v>
      </c>
      <c r="C38" s="21" t="n">
        <v>0.05</v>
      </c>
      <c r="D38" s="8" t="s">
        <v>109</v>
      </c>
      <c r="E38" s="8" t="s">
        <v>119</v>
      </c>
    </row>
    <row r="39" customFormat="false" ht="15" hidden="false" customHeight="false" outlineLevel="0" collapsed="false">
      <c r="A39" s="6"/>
      <c r="B39" s="8" t="s">
        <v>120</v>
      </c>
      <c r="C39" s="21" t="n">
        <v>0.26</v>
      </c>
      <c r="D39" s="8" t="s">
        <v>121</v>
      </c>
      <c r="E39" s="8" t="s">
        <v>122</v>
      </c>
    </row>
    <row r="40" customFormat="false" ht="15" hidden="false" customHeight="false" outlineLevel="0" collapsed="false">
      <c r="A40" s="6"/>
      <c r="B40" s="6"/>
      <c r="C40" s="6"/>
      <c r="D40" s="6"/>
      <c r="E40" s="6"/>
    </row>
    <row r="41" customFormat="false" ht="15" hidden="false" customHeight="false" outlineLevel="0" collapsed="false">
      <c r="A41" s="6"/>
      <c r="B41" s="7" t="s">
        <v>35</v>
      </c>
      <c r="C41" s="6"/>
      <c r="D41" s="6"/>
      <c r="E41" s="6"/>
    </row>
    <row r="42" customFormat="false" ht="15" hidden="false" customHeight="false" outlineLevel="0" collapsed="false">
      <c r="A42" s="6"/>
      <c r="B42" s="8" t="s">
        <v>9</v>
      </c>
      <c r="C42" s="21" t="n">
        <v>0.12</v>
      </c>
      <c r="D42" s="8" t="s">
        <v>65</v>
      </c>
      <c r="E42" s="8" t="s">
        <v>123</v>
      </c>
    </row>
    <row r="43" customFormat="false" ht="15" hidden="false" customHeight="false" outlineLevel="0" collapsed="false">
      <c r="A43" s="6"/>
      <c r="B43" s="8" t="s">
        <v>124</v>
      </c>
      <c r="C43" s="21" t="n">
        <v>0.03</v>
      </c>
      <c r="D43" s="8" t="s">
        <v>65</v>
      </c>
      <c r="E43" s="8" t="s">
        <v>125</v>
      </c>
    </row>
    <row r="44" customFormat="false" ht="15" hidden="false" customHeight="false" outlineLevel="0" collapsed="false">
      <c r="A44" s="6"/>
      <c r="B44" s="8" t="s">
        <v>7</v>
      </c>
      <c r="C44" s="26" t="n">
        <v>10</v>
      </c>
      <c r="D44" s="8" t="s">
        <v>126</v>
      </c>
      <c r="E44" s="8" t="s">
        <v>127</v>
      </c>
    </row>
    <row r="45" customFormat="false" ht="15" hidden="false" customHeight="false" outlineLevel="0" collapsed="false">
      <c r="A45" s="6"/>
      <c r="B45" s="8" t="s">
        <v>8</v>
      </c>
      <c r="C45" s="26" t="n">
        <v>12</v>
      </c>
      <c r="D45" s="8" t="s">
        <v>126</v>
      </c>
      <c r="E45" s="8" t="s">
        <v>128</v>
      </c>
    </row>
    <row r="46" customFormat="false" ht="15" hidden="false" customHeight="false" outlineLevel="0" collapsed="false">
      <c r="A46" s="6"/>
      <c r="B46" s="6"/>
      <c r="C46" s="6"/>
      <c r="D46" s="6"/>
      <c r="E46" s="6"/>
    </row>
    <row r="47" customFormat="false" ht="15" hidden="false" customHeight="false" outlineLevel="0" collapsed="false">
      <c r="A47" s="6"/>
      <c r="B47" s="7" t="s">
        <v>129</v>
      </c>
      <c r="C47" s="6"/>
      <c r="D47" s="6"/>
      <c r="E47" s="6"/>
    </row>
    <row r="48" customFormat="false" ht="15" hidden="false" customHeight="false" outlineLevel="0" collapsed="false">
      <c r="A48" s="6"/>
      <c r="B48" s="16" t="s">
        <v>130</v>
      </c>
      <c r="C48" s="13" t="n">
        <f aca="false">Gross_Inflow_Rate-Outflow_Rate</f>
        <v>0.08</v>
      </c>
      <c r="D48" s="8" t="s">
        <v>60</v>
      </c>
      <c r="E48" s="8" t="s">
        <v>131</v>
      </c>
    </row>
    <row r="49" customFormat="false" ht="15" hidden="false" customHeight="false" outlineLevel="0" collapsed="false">
      <c r="A49" s="6"/>
      <c r="B49" s="16" t="s">
        <v>132</v>
      </c>
      <c r="C49" s="27" t="n">
        <f aca="false">Support_Salary*(1+Benefits_Load)</f>
        <v>115900</v>
      </c>
      <c r="D49" s="8" t="s">
        <v>78</v>
      </c>
      <c r="E49" s="8" t="s">
        <v>133</v>
      </c>
    </row>
    <row r="50" customFormat="false" ht="15" hidden="false" customHeight="false" outlineLevel="0" collapsed="false">
      <c r="A50" s="6"/>
      <c r="B50" s="6"/>
      <c r="C50" s="6"/>
      <c r="D50" s="6"/>
      <c r="E50" s="6"/>
    </row>
    <row r="51" customFormat="false" ht="15" hidden="false" customHeight="false" outlineLevel="0" collapsed="false">
      <c r="A51" s="6"/>
      <c r="B51" s="7" t="s">
        <v>134</v>
      </c>
      <c r="C51" s="6"/>
      <c r="D51" s="6"/>
      <c r="E51" s="6"/>
    </row>
    <row r="52" customFormat="false" ht="15" hidden="false" customHeight="false" outlineLevel="0" collapsed="false">
      <c r="A52" s="6"/>
      <c r="B52" s="8" t="s">
        <v>135</v>
      </c>
      <c r="C52" s="21" t="n">
        <v>0.1</v>
      </c>
      <c r="D52" s="8" t="s">
        <v>121</v>
      </c>
      <c r="E52" s="8" t="s">
        <v>136</v>
      </c>
    </row>
    <row r="53" customFormat="false" ht="15" hidden="false" customHeight="false" outlineLevel="0" collapsed="false">
      <c r="A53" s="6"/>
      <c r="B53" s="8" t="s">
        <v>137</v>
      </c>
      <c r="C53" s="21" t="n">
        <v>0.45</v>
      </c>
      <c r="D53" s="8" t="s">
        <v>121</v>
      </c>
      <c r="E53" s="8" t="s">
        <v>138</v>
      </c>
    </row>
    <row r="54" customFormat="false" ht="15" hidden="false" customHeight="false" outlineLevel="0" collapsed="false">
      <c r="A54" s="6"/>
      <c r="B54" s="8" t="s">
        <v>139</v>
      </c>
      <c r="C54" s="21" t="n">
        <v>0</v>
      </c>
      <c r="D54" s="8" t="s">
        <v>121</v>
      </c>
      <c r="E54" s="8" t="s">
        <v>140</v>
      </c>
    </row>
    <row r="55" customFormat="false" ht="15" hidden="false" customHeight="false" outlineLevel="0" collapsed="false">
      <c r="A55" s="6"/>
      <c r="B55" s="8" t="s">
        <v>141</v>
      </c>
      <c r="C55" s="21" t="n">
        <v>0.4</v>
      </c>
      <c r="D55" s="8" t="s">
        <v>121</v>
      </c>
      <c r="E55" s="8" t="s">
        <v>142</v>
      </c>
    </row>
    <row r="56" customFormat="false" ht="15" hidden="false" customHeight="false" outlineLevel="0" collapsed="false">
      <c r="A56" s="6"/>
      <c r="B56" s="8" t="s">
        <v>143</v>
      </c>
      <c r="C56" s="20" t="n">
        <v>100</v>
      </c>
      <c r="D56" s="8" t="s">
        <v>57</v>
      </c>
      <c r="E56" s="8" t="s">
        <v>144</v>
      </c>
    </row>
    <row r="57" customFormat="false" ht="15" hidden="false" customHeight="false" outlineLevel="0" collapsed="false">
      <c r="A57" s="6"/>
      <c r="B57" s="8" t="s">
        <v>145</v>
      </c>
      <c r="C57" s="20" t="n">
        <v>400</v>
      </c>
      <c r="D57" s="8" t="s">
        <v>57</v>
      </c>
      <c r="E57" s="8" t="s">
        <v>146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0" min="3" style="0" width="14"/>
  </cols>
  <sheetData>
    <row r="1" customFormat="false" ht="15" hidden="false" customHeight="false" outlineLevel="0" collapsed="false">
      <c r="A1" s="1"/>
      <c r="B1" s="1"/>
      <c r="C1" s="1"/>
      <c r="D1" s="1"/>
      <c r="E1" s="1"/>
      <c r="F1" s="1"/>
      <c r="G1" s="1"/>
      <c r="H1" s="1"/>
      <c r="I1" s="1"/>
      <c r="J1" s="1"/>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8" t="s">
        <v>147</v>
      </c>
      <c r="C2" s="1"/>
      <c r="D2" s="1"/>
      <c r="E2" s="1"/>
      <c r="F2" s="1"/>
      <c r="G2" s="1"/>
      <c r="H2" s="1"/>
      <c r="I2" s="1"/>
      <c r="J2" s="1"/>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9" t="s">
        <v>148</v>
      </c>
      <c r="C3" s="1"/>
      <c r="D3" s="1"/>
      <c r="E3" s="1"/>
      <c r="F3" s="1"/>
      <c r="G3" s="1"/>
      <c r="H3" s="1"/>
      <c r="I3" s="1"/>
      <c r="J3" s="1"/>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row>
    <row r="5" customFormat="false" ht="15" hidden="false" customHeight="false" outlineLevel="0" collapsed="false">
      <c r="A5" s="6"/>
      <c r="B5" s="14" t="s">
        <v>149</v>
      </c>
      <c r="C5" s="30" t="str">
        <f aca="false">"Year "&amp;C6</f>
        <v>Year 0</v>
      </c>
      <c r="D5" s="30" t="str">
        <f aca="false">"Year "&amp;D6</f>
        <v>Year 1</v>
      </c>
      <c r="E5" s="30" t="str">
        <f aca="false">"Year "&amp;E6</f>
        <v>Year 2</v>
      </c>
      <c r="F5" s="30" t="str">
        <f aca="false">"Year "&amp;F6</f>
        <v>Year 3</v>
      </c>
      <c r="G5" s="30" t="str">
        <f aca="false">"Year "&amp;G6</f>
        <v>Year 4</v>
      </c>
      <c r="H5" s="30" t="str">
        <f aca="false">"Year "&amp;H6</f>
        <v>Year 5</v>
      </c>
      <c r="I5" s="30" t="str">
        <f aca="false">"Year "&amp;I6</f>
        <v>Year 6</v>
      </c>
      <c r="J5" s="30" t="str">
        <f aca="false">"Year "&amp;J6</f>
        <v>Year 7</v>
      </c>
    </row>
    <row r="6" customFormat="false" ht="15" hidden="false" customHeight="false" outlineLevel="0" collapsed="false">
      <c r="A6" s="6"/>
      <c r="B6" s="14" t="s">
        <v>150</v>
      </c>
      <c r="C6" s="31" t="n">
        <f aca="false">0</f>
        <v>0</v>
      </c>
      <c r="D6" s="31" t="n">
        <f aca="false">C6+1</f>
        <v>1</v>
      </c>
      <c r="E6" s="31" t="n">
        <f aca="false">D6+1</f>
        <v>2</v>
      </c>
      <c r="F6" s="31" t="n">
        <f aca="false">E6+1</f>
        <v>3</v>
      </c>
      <c r="G6" s="31" t="n">
        <f aca="false">F6+1</f>
        <v>4</v>
      </c>
      <c r="H6" s="31" t="n">
        <f aca="false">G6+1</f>
        <v>5</v>
      </c>
      <c r="I6" s="31" t="n">
        <f aca="false">H6+1</f>
        <v>6</v>
      </c>
      <c r="J6" s="31" t="n">
        <f aca="false">I6+1</f>
        <v>7</v>
      </c>
    </row>
    <row r="7" customFormat="false" ht="15" hidden="false" customHeight="false" outlineLevel="0" collapsed="false">
      <c r="A7" s="6"/>
      <c r="B7" s="7" t="s">
        <v>151</v>
      </c>
      <c r="C7" s="6"/>
      <c r="D7" s="6"/>
      <c r="E7" s="6"/>
      <c r="F7" s="6"/>
      <c r="G7" s="6"/>
      <c r="H7" s="6"/>
      <c r="I7" s="6"/>
      <c r="J7" s="6"/>
    </row>
    <row r="8" customFormat="false" ht="15" hidden="false" customHeight="false" outlineLevel="0" collapsed="false">
      <c r="A8" s="6"/>
      <c r="B8" s="15" t="s">
        <v>152</v>
      </c>
      <c r="C8" s="32" t="n">
        <f aca="false">0</f>
        <v>0</v>
      </c>
      <c r="D8" s="32" t="n">
        <f aca="false">C13</f>
        <v>2500</v>
      </c>
      <c r="E8" s="32" t="n">
        <f aca="false">D13</f>
        <v>2856</v>
      </c>
      <c r="F8" s="32" t="n">
        <f aca="false">E13</f>
        <v>3262.6944</v>
      </c>
      <c r="G8" s="32" t="n">
        <f aca="false">F13</f>
        <v>3727.30208256</v>
      </c>
      <c r="H8" s="32" t="n">
        <f aca="false">G13</f>
        <v>4258.06989911654</v>
      </c>
      <c r="I8" s="32" t="n">
        <f aca="false">H13</f>
        <v>4864.41905275074</v>
      </c>
      <c r="J8" s="32" t="n">
        <f aca="false">I13</f>
        <v>5557.11232586245</v>
      </c>
    </row>
    <row r="9" customFormat="false" ht="15" hidden="false" customHeight="false" outlineLevel="0" collapsed="false">
      <c r="A9" s="6"/>
      <c r="B9" s="15" t="s">
        <v>153</v>
      </c>
      <c r="C9" s="32" t="n">
        <f aca="false">0</f>
        <v>0</v>
      </c>
      <c r="D9" s="32" t="n">
        <f aca="false">D8*Gross_Inflow_Rate</f>
        <v>350</v>
      </c>
      <c r="E9" s="32" t="n">
        <f aca="false">E8*Gross_Inflow_Rate</f>
        <v>399.84</v>
      </c>
      <c r="F9" s="32" t="n">
        <f aca="false">F8*Gross_Inflow_Rate</f>
        <v>456.777216</v>
      </c>
      <c r="G9" s="32" t="n">
        <f aca="false">G8*Gross_Inflow_Rate</f>
        <v>521.8222915584</v>
      </c>
      <c r="H9" s="32" t="n">
        <f aca="false">H8*Gross_Inflow_Rate</f>
        <v>596.129785876316</v>
      </c>
      <c r="I9" s="32" t="n">
        <f aca="false">I8*Gross_Inflow_Rate</f>
        <v>681.018667385104</v>
      </c>
      <c r="J9" s="32" t="n">
        <f aca="false">J8*Gross_Inflow_Rate</f>
        <v>777.995725620742</v>
      </c>
    </row>
    <row r="10" customFormat="false" ht="15" hidden="false" customHeight="false" outlineLevel="0" collapsed="false">
      <c r="A10" s="6"/>
      <c r="B10" s="15" t="s">
        <v>154</v>
      </c>
      <c r="C10" s="32" t="n">
        <f aca="false">0</f>
        <v>0</v>
      </c>
      <c r="D10" s="32" t="n">
        <f aca="false">-D8*Outflow_Rate</f>
        <v>-150</v>
      </c>
      <c r="E10" s="32" t="n">
        <f aca="false">-E8*Outflow_Rate</f>
        <v>-171.36</v>
      </c>
      <c r="F10" s="32" t="n">
        <f aca="false">-F8*Outflow_Rate</f>
        <v>-195.761664</v>
      </c>
      <c r="G10" s="32" t="n">
        <f aca="false">-G8*Outflow_Rate</f>
        <v>-223.6381249536</v>
      </c>
      <c r="H10" s="32" t="n">
        <f aca="false">-H8*Outflow_Rate</f>
        <v>-255.484193946993</v>
      </c>
      <c r="I10" s="32" t="n">
        <f aca="false">-I8*Outflow_Rate</f>
        <v>-291.865143165044</v>
      </c>
      <c r="J10" s="32" t="n">
        <f aca="false">-J8*Outflow_Rate</f>
        <v>-333.426739551747</v>
      </c>
    </row>
    <row r="11" customFormat="false" ht="15" hidden="false" customHeight="false" outlineLevel="0" collapsed="false">
      <c r="A11" s="6"/>
      <c r="B11" s="14" t="s">
        <v>155</v>
      </c>
      <c r="C11" s="27" t="n">
        <f aca="false">C9+C10</f>
        <v>0</v>
      </c>
      <c r="D11" s="27" t="n">
        <f aca="false">D9+D10</f>
        <v>200</v>
      </c>
      <c r="E11" s="27" t="n">
        <f aca="false">E9+E10</f>
        <v>228.48</v>
      </c>
      <c r="F11" s="27" t="n">
        <f aca="false">F9+F10</f>
        <v>261.015552</v>
      </c>
      <c r="G11" s="27" t="n">
        <f aca="false">G9+G10</f>
        <v>298.1841666048</v>
      </c>
      <c r="H11" s="27" t="n">
        <f aca="false">H9+H10</f>
        <v>340.645591929324</v>
      </c>
      <c r="I11" s="27" t="n">
        <f aca="false">I9+I10</f>
        <v>389.153524220059</v>
      </c>
      <c r="J11" s="27" t="n">
        <f aca="false">J9+J10</f>
        <v>444.568986068996</v>
      </c>
    </row>
    <row r="12" customFormat="false" ht="15" hidden="false" customHeight="false" outlineLevel="0" collapsed="false">
      <c r="A12" s="6"/>
      <c r="B12" s="15" t="s">
        <v>156</v>
      </c>
      <c r="C12" s="32" t="n">
        <f aca="false">0</f>
        <v>0</v>
      </c>
      <c r="D12" s="32" t="n">
        <f aca="false">Market_Return*(D8+0.5*D11)</f>
        <v>156</v>
      </c>
      <c r="E12" s="32" t="n">
        <f aca="false">Market_Return*(E8+0.5*E11)</f>
        <v>178.2144</v>
      </c>
      <c r="F12" s="32" t="n">
        <f aca="false">Market_Return*(F8+0.5*F11)</f>
        <v>203.59213056</v>
      </c>
      <c r="G12" s="32" t="n">
        <f aca="false">Market_Return*(G8+0.5*G11)</f>
        <v>232.583649951744</v>
      </c>
      <c r="H12" s="32" t="n">
        <f aca="false">Market_Return*(H8+0.5*H11)</f>
        <v>265.703561704872</v>
      </c>
      <c r="I12" s="32" t="n">
        <f aca="false">Market_Return*(I8+0.5*I11)</f>
        <v>303.539748891646</v>
      </c>
      <c r="J12" s="32" t="n">
        <f aca="false">Market_Return*(J8+0.5*J11)</f>
        <v>346.763809133817</v>
      </c>
    </row>
    <row r="13" customFormat="false" ht="15" hidden="false" customHeight="false" outlineLevel="0" collapsed="false">
      <c r="A13" s="6"/>
      <c r="B13" s="14" t="s">
        <v>157</v>
      </c>
      <c r="C13" s="27" t="n">
        <f aca="false">Opening_AUM</f>
        <v>2500</v>
      </c>
      <c r="D13" s="27" t="n">
        <f aca="false">D8+D11+D12</f>
        <v>2856</v>
      </c>
      <c r="E13" s="27" t="n">
        <f aca="false">E8+E11+E12</f>
        <v>3262.6944</v>
      </c>
      <c r="F13" s="27" t="n">
        <f aca="false">F8+F11+F12</f>
        <v>3727.30208256</v>
      </c>
      <c r="G13" s="27" t="n">
        <f aca="false">G8+G11+G12</f>
        <v>4258.06989911654</v>
      </c>
      <c r="H13" s="27" t="n">
        <f aca="false">H8+H11+H12</f>
        <v>4864.41905275074</v>
      </c>
      <c r="I13" s="27" t="n">
        <f aca="false">I8+I11+I12</f>
        <v>5557.11232586245</v>
      </c>
      <c r="J13" s="27" t="n">
        <f aca="false">J8+J11+J12</f>
        <v>6348.44512106526</v>
      </c>
    </row>
    <row r="14" customFormat="false" ht="15" hidden="false" customHeight="false" outlineLevel="0" collapsed="false">
      <c r="A14" s="6"/>
      <c r="B14" s="33" t="s">
        <v>158</v>
      </c>
      <c r="C14" s="34" t="n">
        <f aca="false">C13</f>
        <v>2500</v>
      </c>
      <c r="D14" s="34" t="n">
        <f aca="false">(D8+D13)/2</f>
        <v>2678</v>
      </c>
      <c r="E14" s="34" t="n">
        <f aca="false">(E8+E13)/2</f>
        <v>3059.3472</v>
      </c>
      <c r="F14" s="34" t="n">
        <f aca="false">(F8+F13)/2</f>
        <v>3494.99824128</v>
      </c>
      <c r="G14" s="34" t="n">
        <f aca="false">(G8+G13)/2</f>
        <v>3992.68599083827</v>
      </c>
      <c r="H14" s="34" t="n">
        <f aca="false">(H8+H13)/2</f>
        <v>4561.24447593364</v>
      </c>
      <c r="I14" s="34" t="n">
        <f aca="false">(I8+I13)/2</f>
        <v>5210.76568930659</v>
      </c>
      <c r="J14" s="34" t="n">
        <f aca="false">(J8+J13)/2</f>
        <v>5952.77872346385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0" min="3" style="0" width="14"/>
  </cols>
  <sheetData>
    <row r="1" customFormat="false" ht="15" hidden="false" customHeight="false" outlineLevel="0" collapsed="false">
      <c r="A1" s="1"/>
      <c r="B1" s="1"/>
      <c r="C1" s="1"/>
      <c r="D1" s="1"/>
      <c r="E1" s="1"/>
      <c r="F1" s="1"/>
      <c r="G1" s="1"/>
      <c r="H1" s="1"/>
      <c r="I1" s="1"/>
      <c r="J1" s="1"/>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8" t="s">
        <v>23</v>
      </c>
      <c r="C2" s="1"/>
      <c r="D2" s="1"/>
      <c r="E2" s="1"/>
      <c r="F2" s="1"/>
      <c r="G2" s="1"/>
      <c r="H2" s="1"/>
      <c r="I2" s="1"/>
      <c r="J2" s="1"/>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9" t="s">
        <v>159</v>
      </c>
      <c r="C3" s="1"/>
      <c r="D3" s="1"/>
      <c r="E3" s="1"/>
      <c r="F3" s="1"/>
      <c r="G3" s="1"/>
      <c r="H3" s="1"/>
      <c r="I3" s="1"/>
      <c r="J3" s="1"/>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row>
    <row r="5" customFormat="false" ht="15" hidden="false" customHeight="false" outlineLevel="0" collapsed="false">
      <c r="A5" s="6"/>
      <c r="B5" s="14" t="s">
        <v>149</v>
      </c>
      <c r="C5" s="30" t="str">
        <f aca="false">"Year "&amp;C6</f>
        <v>Year 0</v>
      </c>
      <c r="D5" s="30" t="str">
        <f aca="false">"Year "&amp;D6</f>
        <v>Year 1</v>
      </c>
      <c r="E5" s="30" t="str">
        <f aca="false">"Year "&amp;E6</f>
        <v>Year 2</v>
      </c>
      <c r="F5" s="30" t="str">
        <f aca="false">"Year "&amp;F6</f>
        <v>Year 3</v>
      </c>
      <c r="G5" s="30" t="str">
        <f aca="false">"Year "&amp;G6</f>
        <v>Year 4</v>
      </c>
      <c r="H5" s="30" t="str">
        <f aca="false">"Year "&amp;H6</f>
        <v>Year 5</v>
      </c>
      <c r="I5" s="30" t="str">
        <f aca="false">"Year "&amp;I6</f>
        <v>Year 6</v>
      </c>
      <c r="J5" s="30" t="str">
        <f aca="false">"Year "&amp;J6</f>
        <v>Year 7</v>
      </c>
    </row>
    <row r="6" customFormat="false" ht="15" hidden="false" customHeight="false" outlineLevel="0" collapsed="false">
      <c r="A6" s="6"/>
      <c r="B6" s="14" t="s">
        <v>150</v>
      </c>
      <c r="C6" s="31" t="n">
        <f aca="false">0</f>
        <v>0</v>
      </c>
      <c r="D6" s="31" t="n">
        <f aca="false">C6+1</f>
        <v>1</v>
      </c>
      <c r="E6" s="31" t="n">
        <f aca="false">D6+1</f>
        <v>2</v>
      </c>
      <c r="F6" s="31" t="n">
        <f aca="false">E6+1</f>
        <v>3</v>
      </c>
      <c r="G6" s="31" t="n">
        <f aca="false">F6+1</f>
        <v>4</v>
      </c>
      <c r="H6" s="31" t="n">
        <f aca="false">G6+1</f>
        <v>5</v>
      </c>
      <c r="I6" s="31" t="n">
        <f aca="false">H6+1</f>
        <v>6</v>
      </c>
      <c r="J6" s="31" t="n">
        <f aca="false">I6+1</f>
        <v>7</v>
      </c>
    </row>
    <row r="7" customFormat="false" ht="15" hidden="false" customHeight="false" outlineLevel="0" collapsed="false">
      <c r="A7" s="6"/>
      <c r="B7" s="7" t="s">
        <v>160</v>
      </c>
      <c r="C7" s="6"/>
      <c r="D7" s="6"/>
      <c r="E7" s="6"/>
      <c r="F7" s="6"/>
      <c r="G7" s="6"/>
      <c r="H7" s="6"/>
      <c r="I7" s="6"/>
      <c r="J7" s="6"/>
    </row>
    <row r="8" customFormat="false" ht="15" hidden="false" customHeight="false" outlineLevel="0" collapsed="false">
      <c r="A8" s="6"/>
      <c r="B8" s="15" t="s">
        <v>161</v>
      </c>
      <c r="C8" s="35" t="n">
        <f aca="false">Advisory_Fee</f>
        <v>0.0085</v>
      </c>
      <c r="D8" s="35" t="n">
        <f aca="false">C8*(1-Fee_Compression)</f>
        <v>0.008415</v>
      </c>
      <c r="E8" s="35" t="n">
        <f aca="false">D8*(1-Fee_Compression)</f>
        <v>0.00833085</v>
      </c>
      <c r="F8" s="35" t="n">
        <f aca="false">E8*(1-Fee_Compression)</f>
        <v>0.0082475415</v>
      </c>
      <c r="G8" s="35" t="n">
        <f aca="false">F8*(1-Fee_Compression)</f>
        <v>0.008165066085</v>
      </c>
      <c r="H8" s="35" t="n">
        <f aca="false">G8*(1-Fee_Compression)</f>
        <v>0.00808341542415</v>
      </c>
      <c r="I8" s="35" t="n">
        <f aca="false">H8*(1-Fee_Compression)</f>
        <v>0.0080025812699085</v>
      </c>
      <c r="J8" s="35" t="n">
        <f aca="false">I8*(1-Fee_Compression)</f>
        <v>0.00792255545720942</v>
      </c>
    </row>
    <row r="9" customFormat="false" ht="15" hidden="false" customHeight="false" outlineLevel="0" collapsed="false">
      <c r="A9" s="6"/>
      <c r="B9" s="15" t="s">
        <v>162</v>
      </c>
      <c r="C9" s="32" t="n">
        <f aca="false">AUM_Rollforward!C14*1000000*C8</f>
        <v>21250000</v>
      </c>
      <c r="D9" s="32" t="n">
        <f aca="false">AUM_Rollforward!D14*1000000*D8</f>
        <v>22535370</v>
      </c>
      <c r="E9" s="32" t="n">
        <f aca="false">AUM_Rollforward!E14*1000000*E8</f>
        <v>25486962.62112</v>
      </c>
      <c r="F9" s="32" t="n">
        <f aca="false">AUM_Rollforward!F14*1000000*F8</f>
        <v>28825143.0373838</v>
      </c>
      <c r="G9" s="32" t="n">
        <f aca="false">AUM_Rollforward!G14*1000000*G8</f>
        <v>32600544.9718482</v>
      </c>
      <c r="H9" s="32" t="n">
        <f aca="false">AUM_Rollforward!H14*1000000*H8</f>
        <v>36870433.950081</v>
      </c>
      <c r="I9" s="32" t="n">
        <f aca="false">AUM_Rollforward!I14*1000000*I8</f>
        <v>41699575.9071268</v>
      </c>
      <c r="J9" s="32" t="n">
        <f aca="false">AUM_Rollforward!J14*1000000*J8</f>
        <v>47161219.5611386</v>
      </c>
    </row>
    <row r="10" customFormat="false" ht="15" hidden="false" customHeight="false" outlineLevel="0" collapsed="false">
      <c r="A10" s="6"/>
      <c r="B10" s="15" t="s">
        <v>163</v>
      </c>
      <c r="C10" s="31" t="n">
        <f aca="false">HH_Base</f>
        <v>1200</v>
      </c>
      <c r="D10" s="31" t="n">
        <f aca="false">C10*(1+HH_Growth)</f>
        <v>1284</v>
      </c>
      <c r="E10" s="31" t="n">
        <f aca="false">D10*(1+HH_Growth)</f>
        <v>1373.88</v>
      </c>
      <c r="F10" s="31" t="n">
        <f aca="false">E10*(1+HH_Growth)</f>
        <v>1470.0516</v>
      </c>
      <c r="G10" s="31" t="n">
        <f aca="false">F10*(1+HH_Growth)</f>
        <v>1572.955212</v>
      </c>
      <c r="H10" s="31" t="n">
        <f aca="false">G10*(1+HH_Growth)</f>
        <v>1683.06207684</v>
      </c>
      <c r="I10" s="31" t="n">
        <f aca="false">H10*(1+HH_Growth)</f>
        <v>1800.8764222188</v>
      </c>
      <c r="J10" s="31" t="n">
        <f aca="false">I10*(1+HH_Growth)</f>
        <v>1926.93777177412</v>
      </c>
    </row>
    <row r="11" customFormat="false" ht="15" hidden="false" customHeight="false" outlineLevel="0" collapsed="false">
      <c r="A11" s="6"/>
      <c r="B11" s="15" t="s">
        <v>164</v>
      </c>
      <c r="C11" s="32" t="n">
        <f aca="false">C10*Planning_Fee</f>
        <v>3000000</v>
      </c>
      <c r="D11" s="32" t="n">
        <f aca="false">D10*Planning_Fee</f>
        <v>3210000</v>
      </c>
      <c r="E11" s="32" t="n">
        <f aca="false">E10*Planning_Fee</f>
        <v>3434700</v>
      </c>
      <c r="F11" s="32" t="n">
        <f aca="false">F10*Planning_Fee</f>
        <v>3675129</v>
      </c>
      <c r="G11" s="32" t="n">
        <f aca="false">G10*Planning_Fee</f>
        <v>3932388.03</v>
      </c>
      <c r="H11" s="32" t="n">
        <f aca="false">H10*Planning_Fee</f>
        <v>4207655.1921</v>
      </c>
      <c r="I11" s="32" t="n">
        <f aca="false">I10*Planning_Fee</f>
        <v>4502191.055547</v>
      </c>
      <c r="J11" s="32" t="n">
        <f aca="false">J10*Planning_Fee</f>
        <v>4817344.42943529</v>
      </c>
    </row>
    <row r="12" customFormat="false" ht="15" hidden="false" customHeight="false" outlineLevel="0" collapsed="false">
      <c r="A12" s="6"/>
      <c r="B12" s="15" t="s">
        <v>165</v>
      </c>
      <c r="C12" s="32" t="n">
        <f aca="false">C9*Other_Revenue_Pct</f>
        <v>637500</v>
      </c>
      <c r="D12" s="32" t="n">
        <f aca="false">D9*Other_Revenue_Pct</f>
        <v>676061.1</v>
      </c>
      <c r="E12" s="32" t="n">
        <f aca="false">E9*Other_Revenue_Pct</f>
        <v>764608.8786336</v>
      </c>
      <c r="F12" s="32" t="n">
        <f aca="false">F9*Other_Revenue_Pct</f>
        <v>864754.291121515</v>
      </c>
      <c r="G12" s="32" t="n">
        <f aca="false">G9*Other_Revenue_Pct</f>
        <v>978016.349155446</v>
      </c>
      <c r="H12" s="32" t="n">
        <f aca="false">H9*Other_Revenue_Pct</f>
        <v>1106113.01850243</v>
      </c>
      <c r="I12" s="32" t="n">
        <f aca="false">I9*Other_Revenue_Pct</f>
        <v>1250987.2772138</v>
      </c>
      <c r="J12" s="32" t="n">
        <f aca="false">J9*Other_Revenue_Pct</f>
        <v>1414836.58683416</v>
      </c>
    </row>
    <row r="13" customFormat="false" ht="15" hidden="false" customHeight="false" outlineLevel="0" collapsed="false">
      <c r="A13" s="6"/>
      <c r="B13" s="14" t="s">
        <v>166</v>
      </c>
      <c r="C13" s="27" t="n">
        <f aca="false">C9+C11+C12</f>
        <v>24887500</v>
      </c>
      <c r="D13" s="27" t="n">
        <f aca="false">D9+D11+D12</f>
        <v>26421431.1</v>
      </c>
      <c r="E13" s="27" t="n">
        <f aca="false">E9+E11+E12</f>
        <v>29686271.4997536</v>
      </c>
      <c r="F13" s="27" t="n">
        <f aca="false">F9+F11+F12</f>
        <v>33365026.3285053</v>
      </c>
      <c r="G13" s="27" t="n">
        <f aca="false">G9+G11+G12</f>
        <v>37510949.3510036</v>
      </c>
      <c r="H13" s="27" t="n">
        <f aca="false">H9+H11+H12</f>
        <v>42184202.1606834</v>
      </c>
      <c r="I13" s="27" t="n">
        <f aca="false">I9+I11+I12</f>
        <v>47452754.2398876</v>
      </c>
      <c r="J13" s="27" t="n">
        <f aca="false">J9+J11+J12</f>
        <v>53393400.5774081</v>
      </c>
    </row>
    <row r="14" customFormat="false" ht="15" hidden="false" customHeight="false" outlineLevel="0" collapsed="false">
      <c r="A14" s="6"/>
      <c r="B14" s="33" t="s">
        <v>167</v>
      </c>
      <c r="C14" s="36" t="n">
        <f aca="false">C13/(AUM_Rollforward!C14*1000000)</f>
        <v>0.009955</v>
      </c>
      <c r="D14" s="36" t="n">
        <f aca="false">D13/(AUM_Rollforward!D14*1000000)</f>
        <v>0.00986610571321882</v>
      </c>
      <c r="E14" s="36" t="n">
        <f aca="false">E13/(AUM_Rollforward!E14*1000000)</f>
        <v>0.0097034659876962</v>
      </c>
      <c r="F14" s="36" t="n">
        <f aca="false">F13/(AUM_Rollforward!F14*1000000)</f>
        <v>0.00954650732993954</v>
      </c>
      <c r="G14" s="36" t="n">
        <f aca="false">G13/(AUM_Rollforward!G14*1000000)</f>
        <v>0.00939491596310787</v>
      </c>
      <c r="H14" s="36" t="n">
        <f aca="false">H13/(AUM_Rollforward!H14*1000000)</f>
        <v>0.00924839753344919</v>
      </c>
      <c r="I14" s="36" t="n">
        <f aca="false">I13/(AUM_Rollforward!I14*1000000)</f>
        <v>0.00910667588398169</v>
      </c>
      <c r="J14" s="36" t="n">
        <f aca="false">J13/(AUM_Rollforward!J14*1000000)</f>
        <v>0.00896949190584714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0" min="3" style="0" width="14"/>
  </cols>
  <sheetData>
    <row r="1" customFormat="false" ht="15" hidden="false" customHeight="false" outlineLevel="0" collapsed="false">
      <c r="A1" s="1"/>
      <c r="B1" s="1"/>
      <c r="C1" s="1"/>
      <c r="D1" s="1"/>
      <c r="E1" s="1"/>
      <c r="F1" s="1"/>
      <c r="G1" s="1"/>
      <c r="H1" s="1"/>
      <c r="I1" s="1"/>
      <c r="J1" s="1"/>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8" t="s">
        <v>25</v>
      </c>
      <c r="C2" s="1"/>
      <c r="D2" s="1"/>
      <c r="E2" s="1"/>
      <c r="F2" s="1"/>
      <c r="G2" s="1"/>
      <c r="H2" s="1"/>
      <c r="I2" s="1"/>
      <c r="J2" s="1"/>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9" t="s">
        <v>26</v>
      </c>
      <c r="C3" s="1"/>
      <c r="D3" s="1"/>
      <c r="E3" s="1"/>
      <c r="F3" s="1"/>
      <c r="G3" s="1"/>
      <c r="H3" s="1"/>
      <c r="I3" s="1"/>
      <c r="J3" s="1"/>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row>
    <row r="5" customFormat="false" ht="15" hidden="false" customHeight="false" outlineLevel="0" collapsed="false">
      <c r="A5" s="6"/>
      <c r="B5" s="14" t="s">
        <v>149</v>
      </c>
      <c r="C5" s="30" t="str">
        <f aca="false">"Year "&amp;C6</f>
        <v>Year 0</v>
      </c>
      <c r="D5" s="30" t="str">
        <f aca="false">"Year "&amp;D6</f>
        <v>Year 1</v>
      </c>
      <c r="E5" s="30" t="str">
        <f aca="false">"Year "&amp;E6</f>
        <v>Year 2</v>
      </c>
      <c r="F5" s="30" t="str">
        <f aca="false">"Year "&amp;F6</f>
        <v>Year 3</v>
      </c>
      <c r="G5" s="30" t="str">
        <f aca="false">"Year "&amp;G6</f>
        <v>Year 4</v>
      </c>
      <c r="H5" s="30" t="str">
        <f aca="false">"Year "&amp;H6</f>
        <v>Year 5</v>
      </c>
      <c r="I5" s="30" t="str">
        <f aca="false">"Year "&amp;I6</f>
        <v>Year 6</v>
      </c>
      <c r="J5" s="30" t="str">
        <f aca="false">"Year "&amp;J6</f>
        <v>Year 7</v>
      </c>
    </row>
    <row r="6" customFormat="false" ht="15" hidden="false" customHeight="false" outlineLevel="0" collapsed="false">
      <c r="A6" s="6"/>
      <c r="B6" s="14" t="s">
        <v>150</v>
      </c>
      <c r="C6" s="31" t="n">
        <f aca="false">0</f>
        <v>0</v>
      </c>
      <c r="D6" s="31" t="n">
        <f aca="false">C6+1</f>
        <v>1</v>
      </c>
      <c r="E6" s="31" t="n">
        <f aca="false">D6+1</f>
        <v>2</v>
      </c>
      <c r="F6" s="31" t="n">
        <f aca="false">E6+1</f>
        <v>3</v>
      </c>
      <c r="G6" s="31" t="n">
        <f aca="false">F6+1</f>
        <v>4</v>
      </c>
      <c r="H6" s="31" t="n">
        <f aca="false">G6+1</f>
        <v>5</v>
      </c>
      <c r="I6" s="31" t="n">
        <f aca="false">H6+1</f>
        <v>6</v>
      </c>
      <c r="J6" s="31" t="n">
        <f aca="false">I6+1</f>
        <v>7</v>
      </c>
    </row>
    <row r="7" customFormat="false" ht="15" hidden="false" customHeight="false" outlineLevel="0" collapsed="false">
      <c r="A7" s="6"/>
      <c r="B7" s="7" t="s">
        <v>168</v>
      </c>
      <c r="C7" s="6"/>
      <c r="D7" s="6"/>
      <c r="E7" s="6"/>
      <c r="F7" s="6"/>
      <c r="G7" s="6"/>
      <c r="H7" s="6"/>
      <c r="I7" s="6"/>
      <c r="J7" s="6"/>
    </row>
    <row r="8" customFormat="false" ht="15" hidden="false" customHeight="false" outlineLevel="0" collapsed="false">
      <c r="A8" s="6"/>
      <c r="B8" s="15" t="s">
        <v>169</v>
      </c>
      <c r="C8" s="31" t="n">
        <f aca="false">ROUNDUP(AUM_Rollforward!C13/AUM_Per_Advisor,0)</f>
        <v>12</v>
      </c>
      <c r="D8" s="31" t="n">
        <f aca="false">ROUNDUP(AUM_Rollforward!D13/AUM_Per_Advisor,0)</f>
        <v>13</v>
      </c>
      <c r="E8" s="31" t="n">
        <f aca="false">ROUNDUP(AUM_Rollforward!E13/AUM_Per_Advisor,0)</f>
        <v>15</v>
      </c>
      <c r="F8" s="31" t="n">
        <f aca="false">ROUNDUP(AUM_Rollforward!F13/AUM_Per_Advisor,0)</f>
        <v>17</v>
      </c>
      <c r="G8" s="31" t="n">
        <f aca="false">ROUNDUP(AUM_Rollforward!G13/AUM_Per_Advisor,0)</f>
        <v>20</v>
      </c>
      <c r="H8" s="31" t="n">
        <f aca="false">ROUNDUP(AUM_Rollforward!H13/AUM_Per_Advisor,0)</f>
        <v>23</v>
      </c>
      <c r="I8" s="31" t="n">
        <f aca="false">ROUNDUP(AUM_Rollforward!I13/AUM_Per_Advisor,0)</f>
        <v>26</v>
      </c>
      <c r="J8" s="31" t="n">
        <f aca="false">ROUNDUP(AUM_Rollforward!J13/AUM_Per_Advisor,0)</f>
        <v>29</v>
      </c>
    </row>
    <row r="9" customFormat="false" ht="15" hidden="false" customHeight="false" outlineLevel="0" collapsed="false">
      <c r="A9" s="6"/>
      <c r="B9" s="15" t="s">
        <v>170</v>
      </c>
      <c r="C9" s="31" t="n">
        <f aca="false">ROUND(C8*Support_Ratio,0)</f>
        <v>22</v>
      </c>
      <c r="D9" s="31" t="n">
        <f aca="false">ROUND(D8*Support_Ratio,0)</f>
        <v>23</v>
      </c>
      <c r="E9" s="31" t="n">
        <f aca="false">ROUND(E8*Support_Ratio,0)</f>
        <v>27</v>
      </c>
      <c r="F9" s="31" t="n">
        <f aca="false">ROUND(F8*Support_Ratio,0)</f>
        <v>31</v>
      </c>
      <c r="G9" s="31" t="n">
        <f aca="false">ROUND(G8*Support_Ratio,0)</f>
        <v>36</v>
      </c>
      <c r="H9" s="31" t="n">
        <f aca="false">ROUND(H8*Support_Ratio,0)</f>
        <v>41</v>
      </c>
      <c r="I9" s="31" t="n">
        <f aca="false">ROUND(I8*Support_Ratio,0)</f>
        <v>47</v>
      </c>
      <c r="J9" s="31" t="n">
        <f aca="false">ROUND(J8*Support_Ratio,0)</f>
        <v>52</v>
      </c>
    </row>
    <row r="10" customFormat="false" ht="15" hidden="false" customHeight="false" outlineLevel="0" collapsed="false">
      <c r="A10" s="6"/>
      <c r="B10" s="14" t="s">
        <v>171</v>
      </c>
      <c r="C10" s="37" t="n">
        <f aca="false">C8+C9</f>
        <v>34</v>
      </c>
      <c r="D10" s="37" t="n">
        <f aca="false">D8+D9</f>
        <v>36</v>
      </c>
      <c r="E10" s="37" t="n">
        <f aca="false">E8+E9</f>
        <v>42</v>
      </c>
      <c r="F10" s="37" t="n">
        <f aca="false">F8+F9</f>
        <v>48</v>
      </c>
      <c r="G10" s="37" t="n">
        <f aca="false">G8+G9</f>
        <v>56</v>
      </c>
      <c r="H10" s="37" t="n">
        <f aca="false">H8+H9</f>
        <v>64</v>
      </c>
      <c r="I10" s="37" t="n">
        <f aca="false">I8+I9</f>
        <v>73</v>
      </c>
      <c r="J10" s="37" t="n">
        <f aca="false">J8+J9</f>
        <v>81</v>
      </c>
    </row>
    <row r="11" customFormat="false" ht="15" hidden="false" customHeight="false" outlineLevel="0" collapsed="false">
      <c r="A11" s="6"/>
      <c r="B11" s="33" t="s">
        <v>172</v>
      </c>
      <c r="C11" s="38" t="n">
        <f aca="false">AUM_Rollforward!C13/C8</f>
        <v>208.333333333333</v>
      </c>
      <c r="D11" s="38" t="n">
        <f aca="false">AUM_Rollforward!D13/D8</f>
        <v>219.692307692308</v>
      </c>
      <c r="E11" s="38" t="n">
        <f aca="false">AUM_Rollforward!E13/E8</f>
        <v>217.51296</v>
      </c>
      <c r="F11" s="38" t="n">
        <f aca="false">AUM_Rollforward!F13/F8</f>
        <v>219.25306368</v>
      </c>
      <c r="G11" s="38" t="n">
        <f aca="false">AUM_Rollforward!G13/G8</f>
        <v>212.903494955827</v>
      </c>
      <c r="H11" s="38" t="n">
        <f aca="false">AUM_Rollforward!H13/H8</f>
        <v>211.49648055438</v>
      </c>
      <c r="I11" s="38" t="n">
        <f aca="false">AUM_Rollforward!I13/I8</f>
        <v>213.735089456248</v>
      </c>
      <c r="J11" s="38" t="n">
        <f aca="false">AUM_Rollforward!J13/J8</f>
        <v>218.911900726388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0" min="3" style="0" width="14"/>
  </cols>
  <sheetData>
    <row r="1" customFormat="false" ht="15" hidden="false" customHeight="false" outlineLevel="0" collapsed="false">
      <c r="A1" s="1"/>
      <c r="B1" s="1"/>
      <c r="C1" s="1"/>
      <c r="D1" s="1"/>
      <c r="E1" s="1"/>
      <c r="F1" s="1"/>
      <c r="G1" s="1"/>
      <c r="H1" s="1"/>
      <c r="I1" s="1"/>
      <c r="J1" s="1"/>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8" t="s">
        <v>173</v>
      </c>
      <c r="C2" s="1"/>
      <c r="D2" s="1"/>
      <c r="E2" s="1"/>
      <c r="F2" s="1"/>
      <c r="G2" s="1"/>
      <c r="H2" s="1"/>
      <c r="I2" s="1"/>
      <c r="J2" s="1"/>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9" t="s">
        <v>29</v>
      </c>
      <c r="C3" s="1"/>
      <c r="D3" s="1"/>
      <c r="E3" s="1"/>
      <c r="F3" s="1"/>
      <c r="G3" s="1"/>
      <c r="H3" s="1"/>
      <c r="I3" s="1"/>
      <c r="J3" s="1"/>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row>
    <row r="5" customFormat="false" ht="15" hidden="false" customHeight="false" outlineLevel="0" collapsed="false">
      <c r="A5" s="6"/>
      <c r="B5" s="14" t="s">
        <v>149</v>
      </c>
      <c r="C5" s="30" t="str">
        <f aca="false">"Year "&amp;C6</f>
        <v>Year 0</v>
      </c>
      <c r="D5" s="30" t="str">
        <f aca="false">"Year "&amp;D6</f>
        <v>Year 1</v>
      </c>
      <c r="E5" s="30" t="str">
        <f aca="false">"Year "&amp;E6</f>
        <v>Year 2</v>
      </c>
      <c r="F5" s="30" t="str">
        <f aca="false">"Year "&amp;F6</f>
        <v>Year 3</v>
      </c>
      <c r="G5" s="30" t="str">
        <f aca="false">"Year "&amp;G6</f>
        <v>Year 4</v>
      </c>
      <c r="H5" s="30" t="str">
        <f aca="false">"Year "&amp;H6</f>
        <v>Year 5</v>
      </c>
      <c r="I5" s="30" t="str">
        <f aca="false">"Year "&amp;I6</f>
        <v>Year 6</v>
      </c>
      <c r="J5" s="30" t="str">
        <f aca="false">"Year "&amp;J6</f>
        <v>Year 7</v>
      </c>
    </row>
    <row r="6" customFormat="false" ht="15" hidden="false" customHeight="false" outlineLevel="0" collapsed="false">
      <c r="A6" s="6"/>
      <c r="B6" s="14" t="s">
        <v>150</v>
      </c>
      <c r="C6" s="31" t="n">
        <f aca="false">0</f>
        <v>0</v>
      </c>
      <c r="D6" s="31" t="n">
        <f aca="false">C6+1</f>
        <v>1</v>
      </c>
      <c r="E6" s="31" t="n">
        <f aca="false">D6+1</f>
        <v>2</v>
      </c>
      <c r="F6" s="31" t="n">
        <f aca="false">E6+1</f>
        <v>3</v>
      </c>
      <c r="G6" s="31" t="n">
        <f aca="false">F6+1</f>
        <v>4</v>
      </c>
      <c r="H6" s="31" t="n">
        <f aca="false">G6+1</f>
        <v>5</v>
      </c>
      <c r="I6" s="31" t="n">
        <f aca="false">H6+1</f>
        <v>6</v>
      </c>
      <c r="J6" s="31" t="n">
        <f aca="false">I6+1</f>
        <v>7</v>
      </c>
    </row>
    <row r="7" customFormat="false" ht="15" hidden="false" customHeight="false" outlineLevel="0" collapsed="false">
      <c r="A7" s="6"/>
      <c r="B7" s="7" t="s">
        <v>174</v>
      </c>
      <c r="C7" s="6"/>
      <c r="D7" s="6"/>
      <c r="E7" s="6"/>
      <c r="F7" s="6"/>
      <c r="G7" s="6"/>
      <c r="H7" s="6"/>
      <c r="I7" s="6"/>
      <c r="J7" s="6"/>
    </row>
    <row r="8" customFormat="false" ht="15" hidden="false" customHeight="false" outlineLevel="0" collapsed="false">
      <c r="A8" s="6"/>
      <c r="B8" s="15" t="s">
        <v>175</v>
      </c>
      <c r="C8" s="32" t="n">
        <f aca="false">Revenue!C9*Payout_Rate</f>
        <v>8925000</v>
      </c>
      <c r="D8" s="32" t="n">
        <f aca="false">Revenue!D9*Payout_Rate</f>
        <v>9464855.4</v>
      </c>
      <c r="E8" s="32" t="n">
        <f aca="false">Revenue!E9*Payout_Rate</f>
        <v>10704524.3008704</v>
      </c>
      <c r="F8" s="32" t="n">
        <f aca="false">Revenue!F9*Payout_Rate</f>
        <v>12106560.0757012</v>
      </c>
      <c r="G8" s="32" t="n">
        <f aca="false">Revenue!G9*Payout_Rate</f>
        <v>13692228.8881762</v>
      </c>
      <c r="H8" s="32" t="n">
        <f aca="false">Revenue!H9*Payout_Rate</f>
        <v>15485582.259034</v>
      </c>
      <c r="I8" s="32" t="n">
        <f aca="false">Revenue!I9*Payout_Rate</f>
        <v>17513821.8809932</v>
      </c>
      <c r="J8" s="32" t="n">
        <f aca="false">Revenue!J9*Payout_Rate</f>
        <v>19807712.2156782</v>
      </c>
    </row>
    <row r="9" customFormat="false" ht="15" hidden="false" customHeight="false" outlineLevel="0" collapsed="false">
      <c r="A9" s="6"/>
      <c r="B9" s="15" t="s">
        <v>176</v>
      </c>
      <c r="C9" s="32" t="n">
        <f aca="false">Headcount!C9*Loaded_Salary</f>
        <v>2549800</v>
      </c>
      <c r="D9" s="32" t="n">
        <f aca="false">Headcount!D9*Loaded_Salary</f>
        <v>2665700</v>
      </c>
      <c r="E9" s="32" t="n">
        <f aca="false">Headcount!E9*Loaded_Salary</f>
        <v>3129300</v>
      </c>
      <c r="F9" s="32" t="n">
        <f aca="false">Headcount!F9*Loaded_Salary</f>
        <v>3592900</v>
      </c>
      <c r="G9" s="32" t="n">
        <f aca="false">Headcount!G9*Loaded_Salary</f>
        <v>4172400</v>
      </c>
      <c r="H9" s="32" t="n">
        <f aca="false">Headcount!H9*Loaded_Salary</f>
        <v>4751900</v>
      </c>
      <c r="I9" s="32" t="n">
        <f aca="false">Headcount!I9*Loaded_Salary</f>
        <v>5447300</v>
      </c>
      <c r="J9" s="32" t="n">
        <f aca="false">Headcount!J9*Loaded_Salary</f>
        <v>6026800</v>
      </c>
    </row>
    <row r="10" customFormat="false" ht="15" hidden="false" customHeight="false" outlineLevel="0" collapsed="false">
      <c r="A10" s="6"/>
      <c r="B10" s="15" t="s">
        <v>177</v>
      </c>
      <c r="C10" s="32" t="n">
        <f aca="false">AUM_Rollforward!C14*1000000*Custody_Fee</f>
        <v>1000000</v>
      </c>
      <c r="D10" s="32" t="n">
        <f aca="false">AUM_Rollforward!D14*1000000*Custody_Fee</f>
        <v>1071200</v>
      </c>
      <c r="E10" s="32" t="n">
        <f aca="false">AUM_Rollforward!E14*1000000*Custody_Fee</f>
        <v>1223738.88</v>
      </c>
      <c r="F10" s="32" t="n">
        <f aca="false">AUM_Rollforward!F14*1000000*Custody_Fee</f>
        <v>1397999.296512</v>
      </c>
      <c r="G10" s="32" t="n">
        <f aca="false">AUM_Rollforward!G14*1000000*Custody_Fee</f>
        <v>1597074.39633531</v>
      </c>
      <c r="H10" s="32" t="n">
        <f aca="false">AUM_Rollforward!H14*1000000*Custody_Fee</f>
        <v>1824497.79037346</v>
      </c>
      <c r="I10" s="32" t="n">
        <f aca="false">AUM_Rollforward!I14*1000000*Custody_Fee</f>
        <v>2084306.27572264</v>
      </c>
      <c r="J10" s="32" t="n">
        <f aca="false">AUM_Rollforward!J14*1000000*Custody_Fee</f>
        <v>2381111.48938554</v>
      </c>
    </row>
    <row r="11" customFormat="false" ht="15" hidden="false" customHeight="false" outlineLevel="0" collapsed="false">
      <c r="A11" s="6"/>
      <c r="B11" s="15" t="s">
        <v>178</v>
      </c>
      <c r="C11" s="32" t="n">
        <f aca="false">Headcount!C8*Tech_Per_Advisor*(1+Inflation)^C6</f>
        <v>408000</v>
      </c>
      <c r="D11" s="32" t="n">
        <f aca="false">Headcount!D8*Tech_Per_Advisor*(1+Inflation)^D6</f>
        <v>455260</v>
      </c>
      <c r="E11" s="32" t="n">
        <f aca="false">Headcount!E8*Tech_Per_Advisor*(1+Inflation)^E6</f>
        <v>541059</v>
      </c>
      <c r="F11" s="32" t="n">
        <f aca="false">Headcount!F8*Tech_Per_Advisor*(1+Inflation)^F6</f>
        <v>631596.206</v>
      </c>
      <c r="G11" s="32" t="n">
        <f aca="false">Headcount!G8*Tech_Per_Advisor*(1+Inflation)^G6</f>
        <v>765345.9908</v>
      </c>
      <c r="H11" s="32" t="n">
        <f aca="false">Headcount!H8*Tech_Per_Advisor*(1+Inflation)^H6</f>
        <v>906552.3261026</v>
      </c>
      <c r="I11" s="32" t="n">
        <f aca="false">Headcount!I8*Tech_Per_Advisor*(1+Inflation)^I6</f>
        <v>1055542.23013164</v>
      </c>
      <c r="J11" s="32" t="n">
        <f aca="false">Headcount!J8*Tech_Per_Advisor*(1+Inflation)^J6</f>
        <v>1212655.63130892</v>
      </c>
    </row>
    <row r="12" customFormat="false" ht="15" hidden="false" customHeight="false" outlineLevel="0" collapsed="false">
      <c r="A12" s="6"/>
      <c r="B12" s="15" t="s">
        <v>179</v>
      </c>
      <c r="C12" s="32" t="n">
        <f aca="false">Occupancy_Base*(1+Inflation)^C6</f>
        <v>1400000</v>
      </c>
      <c r="D12" s="32" t="n">
        <f aca="false">Occupancy_Base*(1+Inflation)^D6</f>
        <v>1442000</v>
      </c>
      <c r="E12" s="32" t="n">
        <f aca="false">Occupancy_Base*(1+Inflation)^E6</f>
        <v>1485260</v>
      </c>
      <c r="F12" s="32" t="n">
        <f aca="false">Occupancy_Base*(1+Inflation)^F6</f>
        <v>1529817.8</v>
      </c>
      <c r="G12" s="32" t="n">
        <f aca="false">Occupancy_Base*(1+Inflation)^G6</f>
        <v>1575712.334</v>
      </c>
      <c r="H12" s="32" t="n">
        <f aca="false">Occupancy_Base*(1+Inflation)^H6</f>
        <v>1622983.70402</v>
      </c>
      <c r="I12" s="32" t="n">
        <f aca="false">Occupancy_Base*(1+Inflation)^I6</f>
        <v>1671673.2151406</v>
      </c>
      <c r="J12" s="32" t="n">
        <f aca="false">Occupancy_Base*(1+Inflation)^J6</f>
        <v>1721823.41159482</v>
      </c>
    </row>
    <row r="13" customFormat="false" ht="15" hidden="false" customHeight="false" outlineLevel="0" collapsed="false">
      <c r="A13" s="6"/>
      <c r="B13" s="15" t="s">
        <v>180</v>
      </c>
      <c r="C13" s="32" t="n">
        <f aca="false">Revenue!C13*Marketing_Pct</f>
        <v>1493250</v>
      </c>
      <c r="D13" s="32" t="n">
        <f aca="false">Revenue!D13*Marketing_Pct</f>
        <v>1585285.866</v>
      </c>
      <c r="E13" s="32" t="n">
        <f aca="false">Revenue!E13*Marketing_Pct</f>
        <v>1781176.28998522</v>
      </c>
      <c r="F13" s="32" t="n">
        <f aca="false">Revenue!F13*Marketing_Pct</f>
        <v>2001901.57971032</v>
      </c>
      <c r="G13" s="32" t="n">
        <f aca="false">Revenue!G13*Marketing_Pct</f>
        <v>2250656.96106022</v>
      </c>
      <c r="H13" s="32" t="n">
        <f aca="false">Revenue!H13*Marketing_Pct</f>
        <v>2531052.12964101</v>
      </c>
      <c r="I13" s="32" t="n">
        <f aca="false">Revenue!I13*Marketing_Pct</f>
        <v>2847165.25439326</v>
      </c>
      <c r="J13" s="32" t="n">
        <f aca="false">Revenue!J13*Marketing_Pct</f>
        <v>3203604.03464448</v>
      </c>
    </row>
    <row r="14" customFormat="false" ht="15" hidden="false" customHeight="false" outlineLevel="0" collapsed="false">
      <c r="A14" s="6"/>
      <c r="B14" s="15" t="s">
        <v>181</v>
      </c>
      <c r="C14" s="32" t="n">
        <f aca="false">Compliance_Base*(1+Inflation)^C6</f>
        <v>650000</v>
      </c>
      <c r="D14" s="32" t="n">
        <f aca="false">Compliance_Base*(1+Inflation)^D6</f>
        <v>669500</v>
      </c>
      <c r="E14" s="32" t="n">
        <f aca="false">Compliance_Base*(1+Inflation)^E6</f>
        <v>689585</v>
      </c>
      <c r="F14" s="32" t="n">
        <f aca="false">Compliance_Base*(1+Inflation)^F6</f>
        <v>710272.55</v>
      </c>
      <c r="G14" s="32" t="n">
        <f aca="false">Compliance_Base*(1+Inflation)^G6</f>
        <v>731580.7265</v>
      </c>
      <c r="H14" s="32" t="n">
        <f aca="false">Compliance_Base*(1+Inflation)^H6</f>
        <v>753528.148295</v>
      </c>
      <c r="I14" s="32" t="n">
        <f aca="false">Compliance_Base*(1+Inflation)^I6</f>
        <v>776133.99274385</v>
      </c>
      <c r="J14" s="32" t="n">
        <f aca="false">Compliance_Base*(1+Inflation)^J6</f>
        <v>799418.012526166</v>
      </c>
    </row>
    <row r="15" customFormat="false" ht="15" hidden="false" customHeight="false" outlineLevel="0" collapsed="false">
      <c r="A15" s="6"/>
      <c r="B15" s="15" t="s">
        <v>182</v>
      </c>
      <c r="C15" s="32" t="n">
        <f aca="false">Revenue!C13*GA_Pct</f>
        <v>2239875</v>
      </c>
      <c r="D15" s="32" t="n">
        <f aca="false">Revenue!D13*GA_Pct</f>
        <v>2377928.799</v>
      </c>
      <c r="E15" s="32" t="n">
        <f aca="false">Revenue!E13*GA_Pct</f>
        <v>2671764.43497782</v>
      </c>
      <c r="F15" s="32" t="n">
        <f aca="false">Revenue!F13*GA_Pct</f>
        <v>3002852.36956548</v>
      </c>
      <c r="G15" s="32" t="n">
        <f aca="false">Revenue!G13*GA_Pct</f>
        <v>3375985.44159033</v>
      </c>
      <c r="H15" s="32" t="n">
        <f aca="false">Revenue!H13*GA_Pct</f>
        <v>3796578.19446151</v>
      </c>
      <c r="I15" s="32" t="n">
        <f aca="false">Revenue!I13*GA_Pct</f>
        <v>4270747.88158988</v>
      </c>
      <c r="J15" s="32" t="n">
        <f aca="false">Revenue!J13*GA_Pct</f>
        <v>4805406.05196673</v>
      </c>
    </row>
    <row r="16" customFormat="false" ht="15" hidden="false" customHeight="false" outlineLevel="0" collapsed="false">
      <c r="A16" s="6"/>
      <c r="B16" s="33" t="s">
        <v>183</v>
      </c>
      <c r="C16" s="34" t="n">
        <f aca="false">SUM(C8:C15)</f>
        <v>18665925</v>
      </c>
      <c r="D16" s="34" t="n">
        <f aca="false">SUM(D8:D15)</f>
        <v>19731730.065</v>
      </c>
      <c r="E16" s="34" t="n">
        <f aca="false">SUM(E8:E15)</f>
        <v>22226407.9058334</v>
      </c>
      <c r="F16" s="34" t="n">
        <f aca="false">SUM(F8:F15)</f>
        <v>24973899.877489</v>
      </c>
      <c r="G16" s="34" t="n">
        <f aca="false">SUM(G8:G15)</f>
        <v>28160984.7384621</v>
      </c>
      <c r="H16" s="34" t="n">
        <f aca="false">SUM(H8:H15)</f>
        <v>31672674.5519276</v>
      </c>
      <c r="I16" s="34" t="n">
        <f aca="false">SUM(I8:I15)</f>
        <v>35666690.7307151</v>
      </c>
      <c r="J16" s="34" t="n">
        <f aca="false">SUM(J8:J15)</f>
        <v>39958530.8471049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08080"/>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0" min="3" style="0" width="14"/>
  </cols>
  <sheetData>
    <row r="1" customFormat="false" ht="15" hidden="false" customHeight="false" outlineLevel="0" collapsed="false">
      <c r="A1" s="1"/>
      <c r="B1" s="1"/>
      <c r="C1" s="1"/>
      <c r="D1" s="1"/>
      <c r="E1" s="1"/>
      <c r="F1" s="1"/>
      <c r="G1" s="1"/>
      <c r="H1" s="1"/>
      <c r="I1" s="1"/>
      <c r="J1" s="1"/>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8" t="s">
        <v>184</v>
      </c>
      <c r="C2" s="1"/>
      <c r="D2" s="1"/>
      <c r="E2" s="1"/>
      <c r="F2" s="1"/>
      <c r="G2" s="1"/>
      <c r="H2" s="1"/>
      <c r="I2" s="1"/>
      <c r="J2" s="1"/>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9" t="s">
        <v>185</v>
      </c>
      <c r="C3" s="1"/>
      <c r="D3" s="1"/>
      <c r="E3" s="1"/>
      <c r="F3" s="1"/>
      <c r="G3" s="1"/>
      <c r="H3" s="1"/>
      <c r="I3" s="1"/>
      <c r="J3" s="1"/>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row>
    <row r="5" customFormat="false" ht="15" hidden="false" customHeight="false" outlineLevel="0" collapsed="false">
      <c r="A5" s="6"/>
      <c r="B5" s="14" t="s">
        <v>149</v>
      </c>
      <c r="C5" s="30" t="str">
        <f aca="false">"Year "&amp;C6</f>
        <v>Year 0</v>
      </c>
      <c r="D5" s="30" t="str">
        <f aca="false">"Year "&amp;D6</f>
        <v>Year 1</v>
      </c>
      <c r="E5" s="30" t="str">
        <f aca="false">"Year "&amp;E6</f>
        <v>Year 2</v>
      </c>
      <c r="F5" s="30" t="str">
        <f aca="false">"Year "&amp;F6</f>
        <v>Year 3</v>
      </c>
      <c r="G5" s="30" t="str">
        <f aca="false">"Year "&amp;G6</f>
        <v>Year 4</v>
      </c>
      <c r="H5" s="30" t="str">
        <f aca="false">"Year "&amp;H6</f>
        <v>Year 5</v>
      </c>
      <c r="I5" s="30" t="str">
        <f aca="false">"Year "&amp;I6</f>
        <v>Year 6</v>
      </c>
      <c r="J5" s="30" t="str">
        <f aca="false">"Year "&amp;J6</f>
        <v>Year 7</v>
      </c>
    </row>
    <row r="6" customFormat="false" ht="15" hidden="false" customHeight="false" outlineLevel="0" collapsed="false">
      <c r="A6" s="6"/>
      <c r="B6" s="14" t="s">
        <v>150</v>
      </c>
      <c r="C6" s="31" t="n">
        <f aca="false">0</f>
        <v>0</v>
      </c>
      <c r="D6" s="31" t="n">
        <f aca="false">C6+1</f>
        <v>1</v>
      </c>
      <c r="E6" s="31" t="n">
        <f aca="false">D6+1</f>
        <v>2</v>
      </c>
      <c r="F6" s="31" t="n">
        <f aca="false">E6+1</f>
        <v>3</v>
      </c>
      <c r="G6" s="31" t="n">
        <f aca="false">F6+1</f>
        <v>4</v>
      </c>
      <c r="H6" s="31" t="n">
        <f aca="false">G6+1</f>
        <v>5</v>
      </c>
      <c r="I6" s="31" t="n">
        <f aca="false">H6+1</f>
        <v>6</v>
      </c>
      <c r="J6" s="31" t="n">
        <f aca="false">I6+1</f>
        <v>7</v>
      </c>
    </row>
    <row r="7" customFormat="false" ht="15" hidden="false" customHeight="false" outlineLevel="0" collapsed="false">
      <c r="A7" s="6"/>
      <c r="B7" s="7" t="s">
        <v>186</v>
      </c>
      <c r="C7" s="6"/>
      <c r="D7" s="6"/>
      <c r="E7" s="6"/>
      <c r="F7" s="6"/>
      <c r="G7" s="6"/>
      <c r="H7" s="6"/>
      <c r="I7" s="6"/>
      <c r="J7" s="6"/>
    </row>
    <row r="8" customFormat="false" ht="15" hidden="false" customHeight="false" outlineLevel="0" collapsed="false">
      <c r="A8" s="6"/>
      <c r="B8" s="15" t="s">
        <v>166</v>
      </c>
      <c r="C8" s="32" t="n">
        <f aca="false">Revenue!C13</f>
        <v>24887500</v>
      </c>
      <c r="D8" s="32" t="n">
        <f aca="false">Revenue!D13</f>
        <v>26421431.1</v>
      </c>
      <c r="E8" s="32" t="n">
        <f aca="false">Revenue!E13</f>
        <v>29686271.4997536</v>
      </c>
      <c r="F8" s="32" t="n">
        <f aca="false">Revenue!F13</f>
        <v>33365026.3285053</v>
      </c>
      <c r="G8" s="32" t="n">
        <f aca="false">Revenue!G13</f>
        <v>37510949.3510036</v>
      </c>
      <c r="H8" s="32" t="n">
        <f aca="false">Revenue!H13</f>
        <v>42184202.1606834</v>
      </c>
      <c r="I8" s="32" t="n">
        <f aca="false">Revenue!I13</f>
        <v>47452754.2398876</v>
      </c>
      <c r="J8" s="32" t="n">
        <f aca="false">Revenue!J13</f>
        <v>53393400.5774081</v>
      </c>
    </row>
    <row r="9" customFormat="false" ht="15" hidden="false" customHeight="false" outlineLevel="0" collapsed="false">
      <c r="A9" s="6"/>
      <c r="B9" s="15" t="s">
        <v>183</v>
      </c>
      <c r="C9" s="32" t="n">
        <f aca="false">-Expenses!C16</f>
        <v>-18665925</v>
      </c>
      <c r="D9" s="32" t="n">
        <f aca="false">-Expenses!D16</f>
        <v>-19731730.065</v>
      </c>
      <c r="E9" s="32" t="n">
        <f aca="false">-Expenses!E16</f>
        <v>-22226407.9058334</v>
      </c>
      <c r="F9" s="32" t="n">
        <f aca="false">-Expenses!F16</f>
        <v>-24973899.877489</v>
      </c>
      <c r="G9" s="32" t="n">
        <f aca="false">-Expenses!G16</f>
        <v>-28160984.7384621</v>
      </c>
      <c r="H9" s="32" t="n">
        <f aca="false">-Expenses!H16</f>
        <v>-31672674.5519276</v>
      </c>
      <c r="I9" s="32" t="n">
        <f aca="false">-Expenses!I16</f>
        <v>-35666690.7307151</v>
      </c>
      <c r="J9" s="32" t="n">
        <f aca="false">-Expenses!J16</f>
        <v>-39958530.8471049</v>
      </c>
    </row>
    <row r="10" customFormat="false" ht="15" hidden="false" customHeight="false" outlineLevel="0" collapsed="false">
      <c r="A10" s="6"/>
      <c r="B10" s="14" t="s">
        <v>187</v>
      </c>
      <c r="C10" s="27" t="n">
        <f aca="false">C8+C9</f>
        <v>6221575</v>
      </c>
      <c r="D10" s="27" t="n">
        <f aca="false">D8+D9</f>
        <v>6689701.035</v>
      </c>
      <c r="E10" s="27" t="n">
        <f aca="false">E8+E9</f>
        <v>7459863.59392016</v>
      </c>
      <c r="F10" s="27" t="n">
        <f aca="false">F8+F9</f>
        <v>8391126.45101633</v>
      </c>
      <c r="G10" s="27" t="n">
        <f aca="false">G8+G9</f>
        <v>9349964.61254155</v>
      </c>
      <c r="H10" s="27" t="n">
        <f aca="false">H8+H9</f>
        <v>10511527.6087558</v>
      </c>
      <c r="I10" s="27" t="n">
        <f aca="false">I8+I9</f>
        <v>11786063.5091725</v>
      </c>
      <c r="J10" s="27" t="n">
        <f aca="false">J8+J9</f>
        <v>13434869.7303032</v>
      </c>
    </row>
    <row r="11" customFormat="false" ht="15" hidden="false" customHeight="false" outlineLevel="0" collapsed="false">
      <c r="A11" s="6"/>
      <c r="B11" s="15" t="s">
        <v>188</v>
      </c>
      <c r="C11" s="32" t="n">
        <f aca="false">-DA_Annual</f>
        <v>-260000</v>
      </c>
      <c r="D11" s="32" t="n">
        <f aca="false">-DA_Annual</f>
        <v>-260000</v>
      </c>
      <c r="E11" s="32" t="n">
        <f aca="false">-DA_Annual</f>
        <v>-260000</v>
      </c>
      <c r="F11" s="32" t="n">
        <f aca="false">-DA_Annual</f>
        <v>-260000</v>
      </c>
      <c r="G11" s="32" t="n">
        <f aca="false">-DA_Annual</f>
        <v>-260000</v>
      </c>
      <c r="H11" s="32" t="n">
        <f aca="false">-DA_Annual</f>
        <v>-260000</v>
      </c>
      <c r="I11" s="32" t="n">
        <f aca="false">-DA_Annual</f>
        <v>-260000</v>
      </c>
      <c r="J11" s="32" t="n">
        <f aca="false">-DA_Annual</f>
        <v>-260000</v>
      </c>
    </row>
    <row r="12" customFormat="false" ht="15" hidden="false" customHeight="false" outlineLevel="0" collapsed="false">
      <c r="A12" s="6"/>
      <c r="B12" s="14" t="s">
        <v>189</v>
      </c>
      <c r="C12" s="27" t="n">
        <f aca="false">C10+C11</f>
        <v>5961575</v>
      </c>
      <c r="D12" s="27" t="n">
        <f aca="false">D10+D11</f>
        <v>6429701.035</v>
      </c>
      <c r="E12" s="27" t="n">
        <f aca="false">E10+E11</f>
        <v>7199863.59392016</v>
      </c>
      <c r="F12" s="27" t="n">
        <f aca="false">F10+F11</f>
        <v>8131126.45101633</v>
      </c>
      <c r="G12" s="27" t="n">
        <f aca="false">G10+G11</f>
        <v>9089964.61254155</v>
      </c>
      <c r="H12" s="27" t="n">
        <f aca="false">H10+H11</f>
        <v>10251527.6087558</v>
      </c>
      <c r="I12" s="27" t="n">
        <f aca="false">I10+I11</f>
        <v>11526063.5091725</v>
      </c>
      <c r="J12" s="27" t="n">
        <f aca="false">J10+J11</f>
        <v>13174869.7303032</v>
      </c>
    </row>
    <row r="13" customFormat="false" ht="15" hidden="false" customHeight="false" outlineLevel="0" collapsed="false">
      <c r="A13" s="6"/>
      <c r="B13" s="15" t="s">
        <v>190</v>
      </c>
      <c r="C13" s="32" t="n">
        <f aca="false">-MAX(C12,0)*Tax_Rate</f>
        <v>-1550009.5</v>
      </c>
      <c r="D13" s="32" t="n">
        <f aca="false">-MAX(D12,0)*Tax_Rate</f>
        <v>-1671722.2691</v>
      </c>
      <c r="E13" s="32" t="n">
        <f aca="false">-MAX(E12,0)*Tax_Rate</f>
        <v>-1871964.53441924</v>
      </c>
      <c r="F13" s="32" t="n">
        <f aca="false">-MAX(F12,0)*Tax_Rate</f>
        <v>-2114092.87726424</v>
      </c>
      <c r="G13" s="32" t="n">
        <f aca="false">-MAX(G12,0)*Tax_Rate</f>
        <v>-2363390.7992608</v>
      </c>
      <c r="H13" s="32" t="n">
        <f aca="false">-MAX(H12,0)*Tax_Rate</f>
        <v>-2665397.17827652</v>
      </c>
      <c r="I13" s="32" t="n">
        <f aca="false">-MAX(I12,0)*Tax_Rate</f>
        <v>-2996776.51238484</v>
      </c>
      <c r="J13" s="32" t="n">
        <f aca="false">-MAX(J12,0)*Tax_Rate</f>
        <v>-3425466.12987883</v>
      </c>
    </row>
    <row r="14" customFormat="false" ht="15" hidden="false" customHeight="false" outlineLevel="0" collapsed="false">
      <c r="A14" s="6"/>
      <c r="B14" s="33" t="s">
        <v>191</v>
      </c>
      <c r="C14" s="34" t="n">
        <f aca="false">C12+C13</f>
        <v>4411565.5</v>
      </c>
      <c r="D14" s="34" t="n">
        <f aca="false">D12+D13</f>
        <v>4757978.7659</v>
      </c>
      <c r="E14" s="34" t="n">
        <f aca="false">E12+E13</f>
        <v>5327899.05950092</v>
      </c>
      <c r="F14" s="34" t="n">
        <f aca="false">F12+F13</f>
        <v>6017033.57375208</v>
      </c>
      <c r="G14" s="34" t="n">
        <f aca="false">G12+G13</f>
        <v>6726573.81328074</v>
      </c>
      <c r="H14" s="34" t="n">
        <f aca="false">H12+H13</f>
        <v>7586130.43047932</v>
      </c>
      <c r="I14" s="34" t="n">
        <f aca="false">I12+I13</f>
        <v>8529286.99678763</v>
      </c>
      <c r="J14" s="34" t="n">
        <f aca="false">J12+J13</f>
        <v>9749403.60042437</v>
      </c>
    </row>
    <row r="15" customFormat="false" ht="15" hidden="false" customHeight="false" outlineLevel="0" collapsed="false">
      <c r="A15" s="6"/>
      <c r="B15" s="14" t="s">
        <v>192</v>
      </c>
      <c r="C15" s="13" t="n">
        <f aca="false">C10/C8</f>
        <v>0.249987945755902</v>
      </c>
      <c r="D15" s="13" t="n">
        <f aca="false">D10/D8</f>
        <v>0.253192229053785</v>
      </c>
      <c r="E15" s="13" t="n">
        <f aca="false">E10/E8</f>
        <v>0.251290014442605</v>
      </c>
      <c r="F15" s="13" t="n">
        <f aca="false">F10/F8</f>
        <v>0.251494674944925</v>
      </c>
      <c r="G15" s="13" t="n">
        <f aca="false">G10/G8</f>
        <v>0.249259610175432</v>
      </c>
      <c r="H15" s="13" t="n">
        <f aca="false">H10/H8</f>
        <v>0.249181614688752</v>
      </c>
      <c r="I15" s="13" t="n">
        <f aca="false">I10/I8</f>
        <v>0.248374698117426</v>
      </c>
      <c r="J15" s="13" t="n">
        <f aca="false">J10/J8</f>
        <v>0.251620417224143</v>
      </c>
    </row>
    <row r="16" customFormat="false" ht="15" hidden="false" customHeight="false" outlineLevel="0" collapsed="false">
      <c r="A16" s="6"/>
      <c r="B16" s="14" t="s">
        <v>193</v>
      </c>
      <c r="C16" s="13" t="n">
        <f aca="false">C14/C8</f>
        <v>0.177260291310899</v>
      </c>
      <c r="D16" s="13" t="n">
        <f aca="false">D14/D8</f>
        <v>0.18008028209721</v>
      </c>
      <c r="E16" s="13" t="n">
        <f aca="false">E14/E8</f>
        <v>0.179473500387044</v>
      </c>
      <c r="F16" s="13" t="n">
        <f aca="false">F14/F8</f>
        <v>0.180339542205349</v>
      </c>
      <c r="G16" s="13" t="n">
        <f aca="false">G14/G8</f>
        <v>0.179322942491744</v>
      </c>
      <c r="H16" s="13" t="n">
        <f aca="false">H14/H8</f>
        <v>0.179833445743102</v>
      </c>
      <c r="I16" s="13" t="n">
        <f aca="false">I14/I8</f>
        <v>0.179742717433631</v>
      </c>
      <c r="J16" s="13" t="n">
        <f aca="false">J14/J8</f>
        <v>0.182595667160963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08080"/>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0" min="3" style="0" width="14"/>
  </cols>
  <sheetData>
    <row r="1" customFormat="false" ht="15" hidden="false" customHeight="false" outlineLevel="0" collapsed="false">
      <c r="A1" s="1"/>
      <c r="B1" s="1"/>
      <c r="C1" s="1"/>
      <c r="D1" s="1"/>
      <c r="E1" s="1"/>
      <c r="F1" s="1"/>
      <c r="G1" s="1"/>
      <c r="H1" s="1"/>
      <c r="I1" s="1"/>
      <c r="J1" s="1"/>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8" t="s">
        <v>194</v>
      </c>
      <c r="C2" s="1"/>
      <c r="D2" s="1"/>
      <c r="E2" s="1"/>
      <c r="F2" s="1"/>
      <c r="G2" s="1"/>
      <c r="H2" s="1"/>
      <c r="I2" s="1"/>
      <c r="J2" s="1"/>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9" t="s">
        <v>195</v>
      </c>
      <c r="C3" s="1"/>
      <c r="D3" s="1"/>
      <c r="E3" s="1"/>
      <c r="F3" s="1"/>
      <c r="G3" s="1"/>
      <c r="H3" s="1"/>
      <c r="I3" s="1"/>
      <c r="J3" s="1"/>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row>
    <row r="5" customFormat="false" ht="15" hidden="false" customHeight="false" outlineLevel="0" collapsed="false">
      <c r="A5" s="6"/>
      <c r="B5" s="14" t="s">
        <v>149</v>
      </c>
      <c r="C5" s="30" t="str">
        <f aca="false">"Year "&amp;C6</f>
        <v>Year 0</v>
      </c>
      <c r="D5" s="30" t="str">
        <f aca="false">"Year "&amp;D6</f>
        <v>Year 1</v>
      </c>
      <c r="E5" s="30" t="str">
        <f aca="false">"Year "&amp;E6</f>
        <v>Year 2</v>
      </c>
      <c r="F5" s="30" t="str">
        <f aca="false">"Year "&amp;F6</f>
        <v>Year 3</v>
      </c>
      <c r="G5" s="30" t="str">
        <f aca="false">"Year "&amp;G6</f>
        <v>Year 4</v>
      </c>
      <c r="H5" s="30" t="str">
        <f aca="false">"Year "&amp;H6</f>
        <v>Year 5</v>
      </c>
      <c r="I5" s="30" t="str">
        <f aca="false">"Year "&amp;I6</f>
        <v>Year 6</v>
      </c>
      <c r="J5" s="30" t="str">
        <f aca="false">"Year "&amp;J6</f>
        <v>Year 7</v>
      </c>
    </row>
    <row r="6" customFormat="false" ht="15" hidden="false" customHeight="false" outlineLevel="0" collapsed="false">
      <c r="A6" s="6"/>
      <c r="B6" s="14" t="s">
        <v>150</v>
      </c>
      <c r="C6" s="31" t="n">
        <f aca="false">0</f>
        <v>0</v>
      </c>
      <c r="D6" s="31" t="n">
        <f aca="false">C6+1</f>
        <v>1</v>
      </c>
      <c r="E6" s="31" t="n">
        <f aca="false">D6+1</f>
        <v>2</v>
      </c>
      <c r="F6" s="31" t="n">
        <f aca="false">E6+1</f>
        <v>3</v>
      </c>
      <c r="G6" s="31" t="n">
        <f aca="false">F6+1</f>
        <v>4</v>
      </c>
      <c r="H6" s="31" t="n">
        <f aca="false">G6+1</f>
        <v>5</v>
      </c>
      <c r="I6" s="31" t="n">
        <f aca="false">H6+1</f>
        <v>6</v>
      </c>
      <c r="J6" s="31" t="n">
        <f aca="false">I6+1</f>
        <v>7</v>
      </c>
    </row>
    <row r="7" customFormat="false" ht="15" hidden="false" customHeight="false" outlineLevel="0" collapsed="false">
      <c r="A7" s="6"/>
      <c r="B7" s="7" t="s">
        <v>196</v>
      </c>
      <c r="C7" s="6"/>
      <c r="D7" s="6"/>
      <c r="E7" s="6"/>
      <c r="F7" s="6"/>
      <c r="G7" s="6"/>
      <c r="H7" s="6"/>
      <c r="I7" s="6"/>
      <c r="J7" s="6"/>
    </row>
    <row r="8" customFormat="false" ht="15" hidden="false" customHeight="false" outlineLevel="0" collapsed="false">
      <c r="A8" s="6"/>
      <c r="B8" s="15" t="s">
        <v>191</v>
      </c>
      <c r="C8" s="32" t="n">
        <f aca="false">Income_Statement!C14</f>
        <v>4411565.5</v>
      </c>
      <c r="D8" s="32" t="n">
        <f aca="false">Income_Statement!D14</f>
        <v>4757978.7659</v>
      </c>
      <c r="E8" s="32" t="n">
        <f aca="false">Income_Statement!E14</f>
        <v>5327899.05950092</v>
      </c>
      <c r="F8" s="32" t="n">
        <f aca="false">Income_Statement!F14</f>
        <v>6017033.57375208</v>
      </c>
      <c r="G8" s="32" t="n">
        <f aca="false">Income_Statement!G14</f>
        <v>6726573.81328074</v>
      </c>
      <c r="H8" s="32" t="n">
        <f aca="false">Income_Statement!H14</f>
        <v>7586130.43047932</v>
      </c>
      <c r="I8" s="32" t="n">
        <f aca="false">Income_Statement!I14</f>
        <v>8529286.99678763</v>
      </c>
      <c r="J8" s="32" t="n">
        <f aca="false">Income_Statement!J14</f>
        <v>9749403.60042437</v>
      </c>
    </row>
    <row r="9" customFormat="false" ht="15" hidden="false" customHeight="false" outlineLevel="0" collapsed="false">
      <c r="A9" s="6"/>
      <c r="B9" s="15" t="s">
        <v>197</v>
      </c>
      <c r="C9" s="32" t="n">
        <f aca="false">DA_Annual</f>
        <v>260000</v>
      </c>
      <c r="D9" s="32" t="n">
        <f aca="false">DA_Annual</f>
        <v>260000</v>
      </c>
      <c r="E9" s="32" t="n">
        <f aca="false">DA_Annual</f>
        <v>260000</v>
      </c>
      <c r="F9" s="32" t="n">
        <f aca="false">DA_Annual</f>
        <v>260000</v>
      </c>
      <c r="G9" s="32" t="n">
        <f aca="false">DA_Annual</f>
        <v>260000</v>
      </c>
      <c r="H9" s="32" t="n">
        <f aca="false">DA_Annual</f>
        <v>260000</v>
      </c>
      <c r="I9" s="32" t="n">
        <f aca="false">DA_Annual</f>
        <v>260000</v>
      </c>
      <c r="J9" s="32" t="n">
        <f aca="false">DA_Annual</f>
        <v>260000</v>
      </c>
    </row>
    <row r="10" customFormat="false" ht="15" hidden="false" customHeight="false" outlineLevel="0" collapsed="false">
      <c r="A10" s="6"/>
      <c r="B10" s="15" t="s">
        <v>198</v>
      </c>
      <c r="C10" s="32" t="n">
        <f aca="false">-Revenue!C13*NWC_Pct</f>
        <v>-1244375</v>
      </c>
      <c r="D10" s="32" t="n">
        <f aca="false">-(Revenue!D13-Revenue!C13)*NWC_Pct</f>
        <v>-76696.5550000001</v>
      </c>
      <c r="E10" s="32" t="n">
        <f aca="false">-(Revenue!E13-Revenue!D13)*NWC_Pct</f>
        <v>-163242.01998768</v>
      </c>
      <c r="F10" s="32" t="n">
        <f aca="false">-(Revenue!F13-Revenue!E13)*NWC_Pct</f>
        <v>-183937.741437586</v>
      </c>
      <c r="G10" s="32" t="n">
        <f aca="false">-(Revenue!G13-Revenue!F13)*NWC_Pct</f>
        <v>-207296.151124916</v>
      </c>
      <c r="H10" s="32" t="n">
        <f aca="false">-(Revenue!H13-Revenue!G13)*NWC_Pct</f>
        <v>-233662.640483989</v>
      </c>
      <c r="I10" s="32" t="n">
        <f aca="false">-(Revenue!I13-Revenue!H13)*NWC_Pct</f>
        <v>-263427.603960209</v>
      </c>
      <c r="J10" s="32" t="n">
        <f aca="false">-(Revenue!J13-Revenue!I13)*NWC_Pct</f>
        <v>-297032.316876024</v>
      </c>
    </row>
    <row r="11" customFormat="false" ht="15" hidden="false" customHeight="false" outlineLevel="0" collapsed="false">
      <c r="A11" s="6"/>
      <c r="B11" s="14" t="s">
        <v>199</v>
      </c>
      <c r="C11" s="27" t="n">
        <f aca="false">C8+C9+C10</f>
        <v>3427190.5</v>
      </c>
      <c r="D11" s="27" t="n">
        <f aca="false">D8+D9+D10</f>
        <v>4941282.2109</v>
      </c>
      <c r="E11" s="27" t="n">
        <f aca="false">E8+E9+E10</f>
        <v>5424657.03951324</v>
      </c>
      <c r="F11" s="27" t="n">
        <f aca="false">F8+F9+F10</f>
        <v>6093095.8323145</v>
      </c>
      <c r="G11" s="27" t="n">
        <f aca="false">G8+G9+G10</f>
        <v>6779277.66215583</v>
      </c>
      <c r="H11" s="27" t="n">
        <f aca="false">H8+H9+H10</f>
        <v>7612467.78999533</v>
      </c>
      <c r="I11" s="27" t="n">
        <f aca="false">I8+I9+I10</f>
        <v>8525859.39282743</v>
      </c>
      <c r="J11" s="27" t="n">
        <f aca="false">J8+J9+J10</f>
        <v>9712371.28354834</v>
      </c>
    </row>
    <row r="12" customFormat="false" ht="15" hidden="false" customHeight="false" outlineLevel="0" collapsed="false">
      <c r="A12" s="6"/>
      <c r="B12" s="15" t="s">
        <v>200</v>
      </c>
      <c r="C12" s="32" t="n">
        <f aca="false">-Capex_Base*(1+Inflation)^C6</f>
        <v>-300000</v>
      </c>
      <c r="D12" s="32" t="n">
        <f aca="false">-Capex_Base*(1+Inflation)^D6</f>
        <v>-309000</v>
      </c>
      <c r="E12" s="32" t="n">
        <f aca="false">-Capex_Base*(1+Inflation)^E6</f>
        <v>-318270</v>
      </c>
      <c r="F12" s="32" t="n">
        <f aca="false">-Capex_Base*(1+Inflation)^F6</f>
        <v>-327818.1</v>
      </c>
      <c r="G12" s="32" t="n">
        <f aca="false">-Capex_Base*(1+Inflation)^G6</f>
        <v>-337652.643</v>
      </c>
      <c r="H12" s="32" t="n">
        <f aca="false">-Capex_Base*(1+Inflation)^H6</f>
        <v>-347782.22229</v>
      </c>
      <c r="I12" s="32" t="n">
        <f aca="false">-Capex_Base*(1+Inflation)^I6</f>
        <v>-358215.6889587</v>
      </c>
      <c r="J12" s="32" t="n">
        <f aca="false">-Capex_Base*(1+Inflation)^J6</f>
        <v>-368962.159627461</v>
      </c>
    </row>
    <row r="13" customFormat="false" ht="15" hidden="false" customHeight="false" outlineLevel="0" collapsed="false">
      <c r="A13" s="6"/>
      <c r="B13" s="33" t="s">
        <v>201</v>
      </c>
      <c r="C13" s="34" t="n">
        <f aca="false">C11+C12</f>
        <v>3127190.5</v>
      </c>
      <c r="D13" s="34" t="n">
        <f aca="false">D11+D12</f>
        <v>4632282.2109</v>
      </c>
      <c r="E13" s="34" t="n">
        <f aca="false">E11+E12</f>
        <v>5106387.03951324</v>
      </c>
      <c r="F13" s="34" t="n">
        <f aca="false">F11+F12</f>
        <v>5765277.7323145</v>
      </c>
      <c r="G13" s="34" t="n">
        <f aca="false">G11+G12</f>
        <v>6441625.01915583</v>
      </c>
      <c r="H13" s="34" t="n">
        <f aca="false">H11+H12</f>
        <v>7264685.56770533</v>
      </c>
      <c r="I13" s="34" t="n">
        <f aca="false">I11+I12</f>
        <v>8167643.70386873</v>
      </c>
      <c r="J13" s="34" t="n">
        <f aca="false">J11+J12</f>
        <v>9343409.12392088</v>
      </c>
    </row>
    <row r="14" customFormat="false" ht="15" hidden="false" customHeight="false" outlineLevel="0" collapsed="false">
      <c r="A14" s="6"/>
      <c r="B14" s="14" t="s">
        <v>202</v>
      </c>
      <c r="C14" s="27" t="n">
        <f aca="false">C13</f>
        <v>3127190.5</v>
      </c>
      <c r="D14" s="27" t="n">
        <f aca="false">C14+D13</f>
        <v>7759472.7109</v>
      </c>
      <c r="E14" s="27" t="n">
        <f aca="false">D14+E13</f>
        <v>12865859.7504132</v>
      </c>
      <c r="F14" s="27" t="n">
        <f aca="false">E14+F13</f>
        <v>18631137.4827277</v>
      </c>
      <c r="G14" s="27" t="n">
        <f aca="false">F14+G13</f>
        <v>25072762.5018836</v>
      </c>
      <c r="H14" s="27" t="n">
        <f aca="false">G14+H13</f>
        <v>32337448.0695889</v>
      </c>
      <c r="I14" s="27" t="n">
        <f aca="false">H14+I13</f>
        <v>40505091.7734576</v>
      </c>
      <c r="J14" s="27" t="n">
        <f aca="false">I14+J13</f>
        <v>49848500.8973785</v>
      </c>
    </row>
    <row r="15" customFormat="false" ht="15" hidden="false" customHeight="false" outlineLevel="0" collapsed="false">
      <c r="A15" s="6"/>
      <c r="B15" s="6"/>
      <c r="C15" s="6"/>
      <c r="D15" s="6"/>
      <c r="E15" s="6"/>
      <c r="F15" s="6"/>
      <c r="G15" s="6"/>
      <c r="H15" s="6"/>
      <c r="I15" s="6"/>
      <c r="J15" s="6"/>
    </row>
    <row r="16" customFormat="false" ht="15" hidden="false" customHeight="false" outlineLevel="0" collapsed="false">
      <c r="A16" s="6"/>
      <c r="B16" s="7" t="s">
        <v>203</v>
      </c>
      <c r="C16" s="6"/>
      <c r="D16" s="6"/>
      <c r="E16" s="6"/>
      <c r="F16" s="6"/>
      <c r="G16" s="6"/>
      <c r="H16" s="6"/>
      <c r="I16" s="6"/>
      <c r="J16" s="6"/>
    </row>
    <row r="17" customFormat="false" ht="15" hidden="false" customHeight="false" outlineLevel="0" collapsed="false">
      <c r="A17" s="6"/>
      <c r="B17" s="15" t="s">
        <v>204</v>
      </c>
      <c r="C17" s="32" t="n">
        <f aca="false">0</f>
        <v>0</v>
      </c>
      <c r="D17" s="32" t="n">
        <f aca="false">C19</f>
        <v>0</v>
      </c>
      <c r="E17" s="32" t="n">
        <f aca="false">D19</f>
        <v>0</v>
      </c>
      <c r="F17" s="32" t="n">
        <f aca="false">E19</f>
        <v>0</v>
      </c>
      <c r="G17" s="32" t="n">
        <f aca="false">F19</f>
        <v>0</v>
      </c>
      <c r="H17" s="32" t="n">
        <f aca="false">G19</f>
        <v>0</v>
      </c>
      <c r="I17" s="32" t="n">
        <f aca="false">H19</f>
        <v>0</v>
      </c>
      <c r="J17" s="32" t="n">
        <f aca="false">I19</f>
        <v>0</v>
      </c>
    </row>
    <row r="18" customFormat="false" ht="15" hidden="false" customHeight="false" outlineLevel="0" collapsed="false">
      <c r="A18" s="6"/>
      <c r="B18" s="15" t="s">
        <v>205</v>
      </c>
      <c r="C18" s="32" t="n">
        <f aca="false">-MAX(C13,0)</f>
        <v>-3127190.5</v>
      </c>
      <c r="D18" s="32" t="n">
        <f aca="false">-MAX(D13,0)</f>
        <v>-4632282.2109</v>
      </c>
      <c r="E18" s="32" t="n">
        <f aca="false">-MAX(E13,0)</f>
        <v>-5106387.03951324</v>
      </c>
      <c r="F18" s="32" t="n">
        <f aca="false">-MAX(F13,0)</f>
        <v>-5765277.7323145</v>
      </c>
      <c r="G18" s="32" t="n">
        <f aca="false">-MAX(G13,0)</f>
        <v>-6441625.01915583</v>
      </c>
      <c r="H18" s="32" t="n">
        <f aca="false">-MAX(H13,0)</f>
        <v>-7264685.56770533</v>
      </c>
      <c r="I18" s="32" t="n">
        <f aca="false">-MAX(I13,0)</f>
        <v>-8167643.70386873</v>
      </c>
      <c r="J18" s="32" t="n">
        <f aca="false">-MAX(J13,0)</f>
        <v>-9343409.12392088</v>
      </c>
    </row>
    <row r="19" customFormat="false" ht="15" hidden="false" customHeight="false" outlineLevel="0" collapsed="false">
      <c r="A19" s="6"/>
      <c r="B19" s="33" t="s">
        <v>206</v>
      </c>
      <c r="C19" s="34" t="n">
        <f aca="false">C17+C13+C18</f>
        <v>0</v>
      </c>
      <c r="D19" s="34" t="n">
        <f aca="false">D17+D13+D18</f>
        <v>0</v>
      </c>
      <c r="E19" s="34" t="n">
        <f aca="false">E17+E13+E18</f>
        <v>0</v>
      </c>
      <c r="F19" s="34" t="n">
        <f aca="false">F17+F13+F18</f>
        <v>0</v>
      </c>
      <c r="G19" s="34" t="n">
        <f aca="false">G17+G13+G18</f>
        <v>0</v>
      </c>
      <c r="H19" s="34" t="n">
        <f aca="false">H17+H13+H18</f>
        <v>0</v>
      </c>
      <c r="I19" s="34" t="n">
        <f aca="false">I17+I13+I18</f>
        <v>0</v>
      </c>
      <c r="J19" s="34" t="n">
        <f aca="false">J17+J13+J18</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10" min="3" style="0" width="14"/>
  </cols>
  <sheetData>
    <row r="1" customFormat="false" ht="15" hidden="false" customHeight="false" outlineLevel="0" collapsed="false">
      <c r="A1" s="1"/>
      <c r="B1" s="1"/>
      <c r="C1" s="1"/>
      <c r="D1" s="1"/>
      <c r="E1" s="1"/>
      <c r="F1" s="1"/>
      <c r="G1" s="1"/>
      <c r="H1" s="1"/>
      <c r="I1" s="1"/>
      <c r="J1" s="1"/>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8" t="s">
        <v>35</v>
      </c>
      <c r="C2" s="1"/>
      <c r="D2" s="1"/>
      <c r="E2" s="1"/>
      <c r="F2" s="1"/>
      <c r="G2" s="1"/>
      <c r="H2" s="1"/>
      <c r="I2" s="1"/>
      <c r="J2" s="1"/>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9" t="s">
        <v>207</v>
      </c>
      <c r="C3" s="1"/>
      <c r="D3" s="1"/>
      <c r="E3" s="1"/>
      <c r="F3" s="1"/>
      <c r="G3" s="1"/>
      <c r="H3" s="1"/>
      <c r="I3" s="1"/>
      <c r="J3" s="1"/>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row>
    <row r="5" customFormat="false" ht="15" hidden="false" customHeight="false" outlineLevel="0" collapsed="false">
      <c r="A5" s="6"/>
      <c r="B5" s="6"/>
      <c r="C5" s="6"/>
      <c r="D5" s="6"/>
      <c r="E5" s="6"/>
      <c r="F5" s="6"/>
      <c r="G5" s="6"/>
      <c r="H5" s="6"/>
      <c r="I5" s="6"/>
      <c r="J5" s="6"/>
    </row>
    <row r="6" customFormat="false" ht="15" hidden="false" customHeight="false" outlineLevel="0" collapsed="false">
      <c r="A6" s="6"/>
      <c r="B6" s="7" t="s">
        <v>208</v>
      </c>
      <c r="C6" s="6"/>
      <c r="D6" s="6"/>
      <c r="E6" s="6"/>
      <c r="F6" s="6"/>
      <c r="G6" s="6"/>
      <c r="H6" s="6"/>
      <c r="I6" s="6"/>
      <c r="J6" s="6"/>
    </row>
    <row r="7" customFormat="false" ht="15" hidden="false" customHeight="false" outlineLevel="0" collapsed="false">
      <c r="A7" s="6"/>
      <c r="B7" s="14" t="s">
        <v>209</v>
      </c>
      <c r="C7" s="27" t="n">
        <f aca="false">Income_Statement!C10*Entry_Multiple</f>
        <v>62215750</v>
      </c>
      <c r="D7" s="6"/>
      <c r="E7" s="6"/>
      <c r="F7" s="6"/>
      <c r="G7" s="6"/>
      <c r="H7" s="6"/>
      <c r="I7" s="6"/>
      <c r="J7" s="6"/>
    </row>
    <row r="8" customFormat="false" ht="15" hidden="false" customHeight="false" outlineLevel="0" collapsed="false">
      <c r="A8" s="6"/>
      <c r="B8" s="15" t="s">
        <v>210</v>
      </c>
      <c r="C8" s="32" t="n">
        <f aca="false">C7</f>
        <v>62215750</v>
      </c>
      <c r="D8" s="6"/>
      <c r="E8" s="6"/>
      <c r="F8" s="6"/>
      <c r="G8" s="6"/>
      <c r="H8" s="6"/>
      <c r="I8" s="6"/>
      <c r="J8" s="6"/>
    </row>
    <row r="9" customFormat="false" ht="15" hidden="false" customHeight="false" outlineLevel="0" collapsed="false">
      <c r="A9" s="6"/>
      <c r="B9" s="6"/>
      <c r="C9" s="6"/>
      <c r="D9" s="6"/>
      <c r="E9" s="6"/>
      <c r="F9" s="6"/>
      <c r="G9" s="6"/>
      <c r="H9" s="6"/>
      <c r="I9" s="6"/>
      <c r="J9" s="6"/>
    </row>
    <row r="10" customFormat="false" ht="15" hidden="false" customHeight="false" outlineLevel="0" collapsed="false">
      <c r="A10" s="6"/>
      <c r="B10" s="7" t="s">
        <v>211</v>
      </c>
      <c r="C10" s="6"/>
      <c r="D10" s="6"/>
      <c r="E10" s="6"/>
      <c r="F10" s="6"/>
      <c r="G10" s="6"/>
      <c r="H10" s="6"/>
      <c r="I10" s="6"/>
      <c r="J10" s="6"/>
    </row>
    <row r="11" customFormat="false" ht="15" hidden="false" customHeight="false" outlineLevel="0" collapsed="false">
      <c r="A11" s="6"/>
      <c r="B11" s="15" t="s">
        <v>212</v>
      </c>
      <c r="C11" s="32" t="n">
        <f aca="false">NPV(Discount_Rate,Cash_Flow!$D$13:$J$13)</f>
        <v>28890770.6733487</v>
      </c>
      <c r="D11" s="6"/>
      <c r="E11" s="6"/>
      <c r="F11" s="6"/>
      <c r="G11" s="6"/>
      <c r="H11" s="6"/>
      <c r="I11" s="6"/>
      <c r="J11" s="6"/>
    </row>
    <row r="12" customFormat="false" ht="15" hidden="false" customHeight="false" outlineLevel="0" collapsed="false">
      <c r="A12" s="6"/>
      <c r="B12" s="15" t="s">
        <v>213</v>
      </c>
      <c r="C12" s="32" t="n">
        <f aca="false">(Cash_Flow!J13*(1+Terminal_Growth)/(Discount_Rate-Terminal_Growth))/(1+Discount_Rate)^7</f>
        <v>48369758.8816722</v>
      </c>
      <c r="D12" s="6"/>
      <c r="E12" s="6"/>
      <c r="F12" s="6"/>
      <c r="G12" s="6"/>
      <c r="H12" s="6"/>
      <c r="I12" s="6"/>
      <c r="J12" s="6"/>
    </row>
    <row r="13" customFormat="false" ht="15" hidden="false" customHeight="false" outlineLevel="0" collapsed="false">
      <c r="A13" s="6"/>
      <c r="B13" s="14" t="s">
        <v>214</v>
      </c>
      <c r="C13" s="27" t="n">
        <f aca="false">C11+C12</f>
        <v>77260529.5550209</v>
      </c>
      <c r="D13" s="6"/>
      <c r="E13" s="6"/>
      <c r="F13" s="6"/>
      <c r="G13" s="6"/>
      <c r="H13" s="6"/>
      <c r="I13" s="6"/>
      <c r="J13" s="6"/>
    </row>
    <row r="14" customFormat="false" ht="15" hidden="false" customHeight="false" outlineLevel="0" collapsed="false">
      <c r="A14" s="6"/>
      <c r="B14" s="6"/>
      <c r="C14" s="6"/>
      <c r="D14" s="6"/>
      <c r="E14" s="6"/>
      <c r="F14" s="6"/>
      <c r="G14" s="6"/>
      <c r="H14" s="6"/>
      <c r="I14" s="6"/>
      <c r="J14" s="6"/>
    </row>
    <row r="15" customFormat="false" ht="15" hidden="false" customHeight="false" outlineLevel="0" collapsed="false">
      <c r="A15" s="6"/>
      <c r="B15" s="7" t="s">
        <v>215</v>
      </c>
      <c r="C15" s="6"/>
      <c r="D15" s="6"/>
      <c r="E15" s="6"/>
      <c r="F15" s="6"/>
      <c r="G15" s="6"/>
      <c r="H15" s="6"/>
      <c r="I15" s="6"/>
      <c r="J15" s="6"/>
    </row>
    <row r="16" customFormat="false" ht="15" hidden="false" customHeight="false" outlineLevel="0" collapsed="false">
      <c r="A16" s="6"/>
      <c r="B16" s="14" t="s">
        <v>216</v>
      </c>
      <c r="C16" s="27" t="n">
        <f aca="false">Income_Statement!J10*Exit_Multiple</f>
        <v>161218436.763638</v>
      </c>
      <c r="D16" s="6"/>
      <c r="E16" s="6"/>
      <c r="F16" s="6"/>
      <c r="G16" s="6"/>
      <c r="H16" s="6"/>
      <c r="I16" s="6"/>
      <c r="J16" s="6"/>
    </row>
    <row r="17" customFormat="false" ht="15" hidden="false" customHeight="false" outlineLevel="0" collapsed="false">
      <c r="A17" s="6"/>
      <c r="B17" s="15" t="s">
        <v>217</v>
      </c>
      <c r="C17" s="32" t="n">
        <f aca="false">C16</f>
        <v>161218436.763638</v>
      </c>
      <c r="D17" s="6"/>
      <c r="E17" s="6"/>
      <c r="F17" s="6"/>
      <c r="G17" s="6"/>
      <c r="H17" s="6"/>
      <c r="I17" s="6"/>
      <c r="J17" s="6"/>
    </row>
    <row r="18" customFormat="false" ht="15" hidden="false" customHeight="false" outlineLevel="0" collapsed="false">
      <c r="A18" s="6"/>
      <c r="B18" s="6"/>
      <c r="C18" s="6"/>
      <c r="D18" s="6"/>
      <c r="E18" s="6"/>
      <c r="F18" s="6"/>
      <c r="G18" s="6"/>
      <c r="H18" s="6"/>
      <c r="I18" s="6"/>
      <c r="J18" s="6"/>
    </row>
    <row r="19" customFormat="false" ht="15" hidden="false" customHeight="false" outlineLevel="0" collapsed="false">
      <c r="A19" s="6"/>
      <c r="B19" s="7" t="s">
        <v>218</v>
      </c>
      <c r="C19" s="6"/>
      <c r="D19" s="6"/>
      <c r="E19" s="6"/>
      <c r="F19" s="6"/>
      <c r="G19" s="6"/>
      <c r="H19" s="6"/>
      <c r="I19" s="6"/>
      <c r="J19" s="6"/>
    </row>
    <row r="20" customFormat="false" ht="15" hidden="false" customHeight="false" outlineLevel="0" collapsed="false">
      <c r="A20" s="6"/>
      <c r="B20" s="14" t="s">
        <v>149</v>
      </c>
      <c r="C20" s="30" t="s">
        <v>219</v>
      </c>
      <c r="D20" s="30" t="s">
        <v>220</v>
      </c>
      <c r="E20" s="30" t="s">
        <v>221</v>
      </c>
      <c r="F20" s="30" t="s">
        <v>222</v>
      </c>
      <c r="G20" s="30" t="s">
        <v>223</v>
      </c>
      <c r="H20" s="30" t="s">
        <v>224</v>
      </c>
      <c r="I20" s="30" t="s">
        <v>225</v>
      </c>
      <c r="J20" s="30" t="s">
        <v>226</v>
      </c>
    </row>
    <row r="21" customFormat="false" ht="15" hidden="false" customHeight="false" outlineLevel="0" collapsed="false">
      <c r="A21" s="6"/>
      <c r="B21" s="33" t="s">
        <v>227</v>
      </c>
      <c r="C21" s="34" t="n">
        <f aca="false">-C8</f>
        <v>-62215750</v>
      </c>
      <c r="D21" s="34" t="n">
        <f aca="false">-Cash_Flow!D18</f>
        <v>4632282.2109</v>
      </c>
      <c r="E21" s="34" t="n">
        <f aca="false">-Cash_Flow!E18</f>
        <v>5106387.03951324</v>
      </c>
      <c r="F21" s="34" t="n">
        <f aca="false">-Cash_Flow!F18</f>
        <v>5765277.7323145</v>
      </c>
      <c r="G21" s="34" t="n">
        <f aca="false">-Cash_Flow!G18</f>
        <v>6441625.01915583</v>
      </c>
      <c r="H21" s="34" t="n">
        <f aca="false">-Cash_Flow!H18</f>
        <v>7264685.56770533</v>
      </c>
      <c r="I21" s="34" t="n">
        <f aca="false">-Cash_Flow!I18</f>
        <v>8167643.70386873</v>
      </c>
      <c r="J21" s="34" t="n">
        <f aca="false">-Cash_Flow!J18+C17</f>
        <v>170561845.887559</v>
      </c>
    </row>
    <row r="22" customFormat="false" ht="15" hidden="false" customHeight="false" outlineLevel="0" collapsed="false">
      <c r="A22" s="6"/>
      <c r="B22" s="6"/>
      <c r="C22" s="6"/>
      <c r="D22" s="6"/>
      <c r="E22" s="6"/>
      <c r="F22" s="6"/>
      <c r="G22" s="6"/>
      <c r="H22" s="6"/>
      <c r="I22" s="6"/>
      <c r="J22" s="6"/>
    </row>
    <row r="23" customFormat="false" ht="15" hidden="false" customHeight="false" outlineLevel="0" collapsed="false">
      <c r="A23" s="6"/>
      <c r="B23" s="7" t="s">
        <v>228</v>
      </c>
      <c r="C23" s="6"/>
      <c r="D23" s="6"/>
      <c r="E23" s="6"/>
      <c r="F23" s="6"/>
      <c r="G23" s="6"/>
      <c r="H23" s="6"/>
      <c r="I23" s="6"/>
      <c r="J23" s="6"/>
    </row>
    <row r="24" customFormat="false" ht="15" hidden="false" customHeight="false" outlineLevel="0" collapsed="false">
      <c r="A24" s="6"/>
      <c r="B24" s="14" t="s">
        <v>229</v>
      </c>
      <c r="C24" s="13" t="n">
        <f aca="false">IFERROR(IRR(C21:J21),0)</f>
        <v>0.215481311394526</v>
      </c>
      <c r="D24" s="6"/>
      <c r="E24" s="6"/>
      <c r="F24" s="6"/>
      <c r="G24" s="6"/>
      <c r="H24" s="6"/>
      <c r="I24" s="6"/>
      <c r="J24" s="6"/>
    </row>
    <row r="25" customFormat="false" ht="15" hidden="false" customHeight="false" outlineLevel="0" collapsed="false">
      <c r="A25" s="6"/>
      <c r="B25" s="14" t="s">
        <v>230</v>
      </c>
      <c r="C25" s="12" t="n">
        <f aca="false">SUM(D21:J21)/C8</f>
        <v>3.34223644593237</v>
      </c>
      <c r="D25" s="6"/>
      <c r="E25" s="6"/>
      <c r="F25" s="6"/>
      <c r="G25" s="6"/>
      <c r="H25" s="6"/>
      <c r="I25" s="6"/>
      <c r="J25"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2026-05-22T05:20:12Z</dcterms:created>
  <dc:creator>openpyxl</dc:creator>
  <dc:description/>
  <dc:language>en-GB</dc:language>
  <cp:lastModifiedBy/>
  <dcterms:modified xsi:type="dcterms:W3CDTF">2026-05-22T05:20:12Z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